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9"/>
  </bookViews>
  <sheets>
    <sheet name="І квартал 2013" sheetId="1" r:id="rId1"/>
    <sheet name="01.05" sheetId="2" r:id="rId2"/>
    <sheet name=" 01.06" sheetId="3" r:id="rId3"/>
    <sheet name="І півріччя 2013" sheetId="4" r:id="rId4"/>
    <sheet name="01.08" sheetId="5" r:id="rId5"/>
    <sheet name="01.09" sheetId="6" r:id="rId6"/>
    <sheet name="9 місяців" sheetId="7" r:id="rId7"/>
    <sheet name="01.11" sheetId="8" r:id="rId8"/>
    <sheet name="01.12" sheetId="9" r:id="rId9"/>
    <sheet name="01.01.2014" sheetId="10" r:id="rId10"/>
  </sheets>
  <definedNames>
    <definedName name="_xlnm.Print_Titles" localSheetId="2">' 01.06'!$9:$10</definedName>
    <definedName name="_xlnm.Print_Titles" localSheetId="9">'01.01.2014'!$7:$8</definedName>
    <definedName name="_xlnm.Print_Titles" localSheetId="1">'01.05'!$9:$10</definedName>
    <definedName name="_xlnm.Print_Titles" localSheetId="4">'01.08'!$7:$8</definedName>
    <definedName name="_xlnm.Print_Titles" localSheetId="5">'01.09'!$7:$8</definedName>
    <definedName name="_xlnm.Print_Titles" localSheetId="7">'01.11'!$7:$8</definedName>
    <definedName name="_xlnm.Print_Titles" localSheetId="8">'01.12'!$7:$8</definedName>
    <definedName name="_xlnm.Print_Titles" localSheetId="6">'9 місяців'!$7:$8</definedName>
    <definedName name="_xlnm.Print_Titles" localSheetId="0">'І квартал 2013'!$9:$10</definedName>
    <definedName name="_xlnm.Print_Titles" localSheetId="3">'І півріччя 2013'!$7:$8</definedName>
    <definedName name="_xlnm.Print_Area" localSheetId="9">'01.01.2014'!$A$1:$I$310</definedName>
    <definedName name="_xlnm.Print_Area" localSheetId="4">'01.08'!$A$1:$I$305</definedName>
    <definedName name="_xlnm.Print_Area" localSheetId="5">'01.09'!$A$1:$I$305</definedName>
    <definedName name="_xlnm.Print_Area" localSheetId="7">'01.11'!$A$1:$I$308</definedName>
    <definedName name="_xlnm.Print_Area" localSheetId="8">'01.12'!$A$1:$I$309</definedName>
    <definedName name="_xlnm.Print_Area" localSheetId="6">'9 місяців'!$A$1:$I$307</definedName>
    <definedName name="_xlnm.Print_Area" localSheetId="3">'І півріччя 2013'!$A$1:$I$301</definedName>
  </definedNames>
  <calcPr fullCalcOnLoad="1"/>
</workbook>
</file>

<file path=xl/sharedStrings.xml><?xml version="1.0" encoding="utf-8"?>
<sst xmlns="http://schemas.openxmlformats.org/spreadsheetml/2006/main" count="7425" uniqueCount="481">
  <si>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</si>
  <si>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 xml:space="preserve">за 2013 рік </t>
  </si>
  <si>
    <t>Субвенція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</si>
  <si>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</si>
  <si>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</si>
  <si>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</si>
  <si>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</si>
  <si>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</si>
  <si>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</si>
  <si>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2009-2011 роки)</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</si>
  <si>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</si>
  <si>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</si>
  <si>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</si>
  <si>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</si>
  <si>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</si>
  <si>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</si>
  <si>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Комплексна програма профілактики злочинності та вдосконалення системи захисту конституційних прав і свобод громадян в місті Южноукраїнську на 2006 -2010 роки</t>
  </si>
  <si>
    <t>100101</t>
  </si>
  <si>
    <t>.090412</t>
  </si>
  <si>
    <t>090700</t>
  </si>
  <si>
    <t>091205</t>
  </si>
  <si>
    <t>130102</t>
  </si>
  <si>
    <t>130115</t>
  </si>
  <si>
    <t>100208</t>
  </si>
  <si>
    <t>Виконання бюджету міста Южноукраїнська по видаткам</t>
  </si>
  <si>
    <t>091106</t>
  </si>
  <si>
    <t>Міська комплексна програма "Турбота" на 2009-2012 роки (заходи до свят)</t>
  </si>
  <si>
    <t>Додаток 4</t>
  </si>
  <si>
    <t>Начальник фінансового управління Южноукраїнської міської ради</t>
  </si>
  <si>
    <t>Додаток №2</t>
  </si>
  <si>
    <t xml:space="preserve">за І квартал 2013 року </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</si>
  <si>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</si>
  <si>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</si>
  <si>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</si>
  <si>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</si>
  <si>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Інші культурно-освітні заклади (Програма розвитку культури, фізичної культури, спорту та туризму в місті Южноукраїнську на 2010-2013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</si>
  <si>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період до 2012 року")</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</si>
  <si>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</si>
  <si>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</si>
  <si>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</si>
  <si>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</si>
  <si>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</si>
  <si>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</si>
  <si>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</si>
  <si>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</si>
  <si>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</si>
  <si>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</si>
  <si>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</si>
  <si>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</si>
  <si>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</si>
  <si>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</si>
  <si>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</si>
  <si>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Благоустрій міст, сіл, селищ ( міська програма реформування і розвитку житлово-комунального господарства міста Южноукраїнська на 2010-2014 роки)(бюджет розвитку) </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</si>
  <si>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</si>
  <si>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</si>
  <si>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</si>
  <si>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</si>
  <si>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План на 2013 рік з урахуванням внесених змін</t>
  </si>
  <si>
    <t xml:space="preserve">Виконання                                      за січень-квітень 2013 року                                     </t>
  </si>
  <si>
    <t>Відхилення                                                    (+;-)                                                (4-3)</t>
  </si>
  <si>
    <t>Відсоток виконання  (4/3),                                                  %</t>
  </si>
  <si>
    <t>Інші видатки на соціальний захист населення (міська Програма "Запобігання та лікування серцево-судинних та судинно-мозкових захворювань на 2012 - 2013 роки")</t>
  </si>
  <si>
    <t>Субвенція з державного бюджету на будівництво, реконструкцію, ремонт та утримання вулиць і дорігкомунальної власності у населених пунктах</t>
  </si>
  <si>
    <t>Субвенція з обласного бюджету на будівництво, реконструкцію, ремонт та утримання вулиць і дорігкомунальної власності у населених пунктах</t>
  </si>
  <si>
    <t xml:space="preserve">за січень - серпень 2013 року </t>
  </si>
  <si>
    <t xml:space="preserve">Виконання                                      за січень-серпень 2013 року                                     </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</si>
  <si>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</si>
  <si>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що передаються із загального фонду до бюджету розвитку)</t>
  </si>
  <si>
    <t xml:space="preserve">за січень - липень 2013 року </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</si>
  <si>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</si>
  <si>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</si>
  <si>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</si>
  <si>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</si>
  <si>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</si>
  <si>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</si>
  <si>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Розроблення схеми теплопостачання міста для проведення переоснащення, капітального ремонту та капітальний ремонт теплової мережі  (бюджет розвитку)</t>
  </si>
  <si>
    <t xml:space="preserve">від_______________2012 року № ______ </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</si>
  <si>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</si>
  <si>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</si>
  <si>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</si>
  <si>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</si>
  <si>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</si>
  <si>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</si>
  <si>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</si>
  <si>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</si>
  <si>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</si>
  <si>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Субвенція з обласного бюджету на виконання депутатами обласної радидоручень виборців, відповідно до програм, затверджених обласною радою на 2012 рік</t>
  </si>
  <si>
    <t>Центр соціальних служб сім’ї, дітей та молоді (додаткова дотація на покращення надання соціальних послуг найуразливішим верствам населення)</t>
  </si>
  <si>
    <t>Водопровідно-каналізаційне господарство (міська програма "Питна вода") (кошти, що передаються із загального фонду до бюджету розвитку)</t>
  </si>
  <si>
    <t xml:space="preserve">Органи місцевого самоврядування </t>
  </si>
  <si>
    <t>Органи місцевого самоврядування (кошти бюджету розвитку)</t>
  </si>
  <si>
    <t>Придбання труб для проведення капітального ремону на магістральному трубопроводі теплової мережі по вул.Енергобудівників (бюджет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</si>
  <si>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</si>
  <si>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</si>
  <si>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</si>
  <si>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</si>
  <si>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2011-2015 року")</t>
  </si>
  <si>
    <t xml:space="preserve">міської ради від                  2013 №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</si>
  <si>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</si>
  <si>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</si>
  <si>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</si>
  <si>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</si>
  <si>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</si>
  <si>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</si>
  <si>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</si>
  <si>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</si>
  <si>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</si>
  <si>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</si>
  <si>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</si>
  <si>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</si>
  <si>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</si>
  <si>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</si>
  <si>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Відхилення                                                    (+;-)                                                (4-3), тис.грн.</t>
  </si>
  <si>
    <t>Відсоток виконання  (4/3), %</t>
  </si>
  <si>
    <t>Утримання управління освіти Южноукраїнської міської ради</t>
  </si>
  <si>
    <t xml:space="preserve">Виконання                                      за 2013 рік                                     </t>
  </si>
  <si>
    <t xml:space="preserve">міської ради від              2014 №  </t>
  </si>
  <si>
    <t xml:space="preserve"> </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</si>
  <si>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</si>
  <si>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</si>
  <si>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</si>
  <si>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</si>
  <si>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</si>
  <si>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</si>
  <si>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</si>
  <si>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</si>
  <si>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Утримання дошкільних закладів освіти (субвенція з обласного бюджету)</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</si>
  <si>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</si>
  <si>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</si>
  <si>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2009 - 2012 роки)</t>
  </si>
  <si>
    <t>Міська програма охорони тваринного світу та регулювання бродячих тварин в м.Южноукраїнську на 2010-2014 роки</t>
  </si>
  <si>
    <t>250380</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</si>
  <si>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</si>
  <si>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</si>
  <si>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Виконання                                      за січень-жовтень 2013 року                                     </t>
  </si>
  <si>
    <t>Додаткова дотація з державного бюджету на виплату допомоги по догляду за інвалідом І та ІІ групи внаслідок психічного розладу</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</si>
  <si>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</si>
  <si>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вдовам(вдівцям) та батькам померлих (загиблих) осіб,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t>
  </si>
  <si>
    <t xml:space="preserve">за січень-квітень 2013 року </t>
  </si>
  <si>
    <t xml:space="preserve">за І півріччя 2013 року </t>
  </si>
  <si>
    <t xml:space="preserve">за січень - вересень 2013 року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</si>
  <si>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</si>
  <si>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</si>
  <si>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</si>
  <si>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</si>
  <si>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</si>
  <si>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</si>
  <si>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</si>
  <si>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</si>
  <si>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</si>
  <si>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</si>
  <si>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</si>
  <si>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</si>
  <si>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</si>
  <si>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</si>
  <si>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</si>
  <si>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</si>
  <si>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</si>
  <si>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</si>
  <si>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(субвенція з обласного бюджету)</t>
  </si>
  <si>
    <t>Інші видатки на соціальний захист населення (міська цільова Програма "Цукровий діабет на 2012-2013 роки")</t>
  </si>
  <si>
    <t>Інші видатки на соціальний захист населення (міська Програма "Запобігання та ліквідація серцево-судинних та судинно-мозкових захворювань на 2012 - 2013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</si>
  <si>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</si>
  <si>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населення (міська Програма "Молоде покоління Южноукраїнська на 2012-2015 роки")</t>
  </si>
  <si>
    <t>Допомога по догляду за інвалідом І чи ІІ групи внаслідок психічного розладу (субвенція з обласного бюджету)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</si>
  <si>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</si>
  <si>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</si>
  <si>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Центр соціальних служб сім’ї, дітей та молоді Южноукраїнської міської ради (додаткова доція з державного бюджету на покращення надання соціальних послуг найуразливішим верствам населення)</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</si>
  <si>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</si>
  <si>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"Молоде покоління Южноукраїнська" на 2012 - 2015 роки)</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</si>
  <si>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</si>
  <si>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Соціальні програми і заходи державних органів у справах молоді (міська Програма "Програма профілактики соціального сирітства, захисту прав дітей-сиріт та дітей позбавлених батьківського піклування на 2012 - 2015 роки")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</si>
  <si>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допомоги)</t>
  </si>
  <si>
    <t>Міська комплексна Програма "Турбота" на 2009-2012 роки (пільги, що надаються населенню на оплату житлово - комунальних послуг і природного газу)</t>
  </si>
  <si>
    <t>Міська комплексна Програма "Турбота" на 2009-2012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</si>
  <si>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</si>
  <si>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</si>
  <si>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</si>
  <si>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</si>
  <si>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</si>
  <si>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</si>
  <si>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 xml:space="preserve">Виконання                                      за січень-червень 2013 року                                     </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</si>
  <si>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</si>
  <si>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паліатичної та хоспісної допомоги в м.Южноукраїнську на період до  2016 року")</t>
  </si>
  <si>
    <t>Субвенція з обласного бюджету на виконання депутатами обласної ради доручень виборців, відповідно до програм, затверджених обласною радою на 2012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</si>
  <si>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</si>
  <si>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</si>
  <si>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 xml:space="preserve">за січень - жовтень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</si>
  <si>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</si>
  <si>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</si>
  <si>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</si>
  <si>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t>
  </si>
  <si>
    <t xml:space="preserve">Музеї і виставки </t>
  </si>
  <si>
    <t>Проведення навчально - тренувальних зборів і змагань (Програма розвитку культури, фізичної культури, спорту та туризму в місті Южноукраїнську на 2010-2013 роки)</t>
  </si>
  <si>
    <t>Центри "Спорт для всіх" та заходи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</si>
  <si>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</si>
  <si>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</si>
  <si>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</si>
  <si>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</si>
  <si>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</si>
  <si>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Програма стабілізації та соціально-економічного розвитку території (міська Програма приватизації об’єктів, що належать до комунальної власностітериторіальної громади міста Южноукраїнська на 2009 - 2012 роки)</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</si>
  <si>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</si>
  <si>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</si>
  <si>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</si>
  <si>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</si>
  <si>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</si>
  <si>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150110</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</si>
  <si>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</si>
  <si>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</si>
  <si>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</si>
  <si>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</si>
  <si>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</si>
  <si>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</si>
  <si>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</si>
  <si>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</si>
  <si>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</si>
  <si>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</si>
  <si>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План на 2013 рік з урахуванням внесених змін, тис.грн.</t>
  </si>
  <si>
    <t xml:space="preserve">Виконання                                      за І квартал 2013 року, тис.грн.                                        </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</si>
  <si>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</si>
  <si>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</si>
  <si>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</si>
  <si>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</si>
  <si>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</si>
  <si>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2010-2013 роки)</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</si>
  <si>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</si>
  <si>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</si>
  <si>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</si>
  <si>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</si>
  <si>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Субвенція з місцевого бюджету державному бюджету на виконання програм соціально-економічного та культурного розвитку регіонів (міська Програма з надання паліативної та хоспісної допомоги в м.Южноукраїнську на період до  2016 року")</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</si>
  <si>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</si>
  <si>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</si>
  <si>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</si>
  <si>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</si>
  <si>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 xml:space="preserve">за січень - листопад 2013 року </t>
  </si>
  <si>
    <t xml:space="preserve">Виконання                                      за січень-листопад 2013 року                                     </t>
  </si>
  <si>
    <t>Інші правоохоронні заходи і заклади (Комплексна програма профілактики злочинності та вдосеоналення системи захисту конституційних прав і свобод громадян в місті Южноукраїнську на 2011-2015роки)</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</si>
  <si>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</si>
  <si>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</si>
  <si>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</si>
  <si>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</si>
  <si>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</si>
  <si>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</si>
  <si>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</si>
  <si>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</si>
  <si>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(централізована бухгалтерія) (кошти, що передаються із загального фонду до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</si>
  <si>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</si>
  <si>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</si>
  <si>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Утримання та навчально-тренувальна робота дитячо-юнацьких спортивних шкіл (кошти, що передаються із загального фонду до бюджету розвитку)</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</si>
  <si>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</si>
  <si>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</si>
  <si>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</si>
  <si>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2009 - 2013 роки) (кошти, що передаються із загального фонду до бюджету розвитку)</t>
  </si>
  <si>
    <t>Охорона та раціональне використання природних ресурсів, всього, в тому числі</t>
  </si>
  <si>
    <t>Цільовий фонд, всього, в тому числі</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</si>
  <si>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</si>
  <si>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</si>
  <si>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Управління молоді, спорту та культури Южноукраїнської міської ради(видатки цільового фонду)</t>
  </si>
  <si>
    <t>Виконавчий комітет Южноукраїнської міської ради(видатки цільового фонду)</t>
  </si>
  <si>
    <t>Інші видатки, всього, в тому числі</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</si>
  <si>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захворювань на 2012-2014 роки)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</si>
  <si>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</si>
  <si>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</si>
  <si>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(кошти бюджету розвитку)</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</si>
  <si>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</si>
  <si>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</si>
  <si>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</si>
  <si>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</si>
  <si>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</si>
  <si>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Інші видатки (служба соціально - психологічної підтримки населення управління молоді, спорту та культури Южноукраїнської міської ради) - громадські роботи</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</si>
  <si>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</si>
  <si>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</si>
  <si>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Міська комплексна Програма "Турбота" на 2009-2012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</si>
  <si>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"Забезпечення профілактики ВІЛ-інфекцій, догляду та підтримки ВІЛ-інфікованих і хворих на СНІД на 2012-2013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</si>
  <si>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</si>
  <si>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цивільного захисту населення на 2009-2013 роки) (кошти, що передаються із загального фонду до бюджету р</t>
  </si>
  <si>
    <t xml:space="preserve">за січень-травень 2013 року </t>
  </si>
  <si>
    <t xml:space="preserve">Виконання                                      за січень-травень 2013 року                                     </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</si>
  <si>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поліотичної та хоспісної допомоги в м.Южноукраїнську на період до 2016 року)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</si>
  <si>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захворювань на туберкульоз у 2013 році) (кошти бюджету розвитку)</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</si>
  <si>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 (кошти бюджету розвитку)</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</si>
  <si>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</si>
  <si>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</si>
  <si>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</si>
  <si>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Дошкільні заклади (кошти, що передаються із загального фонду до бюджету розвитку)</t>
  </si>
  <si>
    <t>Загальноосвітні школи (кошти, що передаються із загального фонду до бюджету розвитку)</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</si>
  <si>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</si>
  <si>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</si>
  <si>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</si>
  <si>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</si>
  <si>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</si>
  <si>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до рішення Южноукраїнської міської ради</t>
  </si>
  <si>
    <t>Коди нової класифікації</t>
  </si>
  <si>
    <t>Коди перехідної класифікації</t>
  </si>
  <si>
    <t>Видатки</t>
  </si>
  <si>
    <t>0111</t>
  </si>
  <si>
    <t>010116</t>
  </si>
  <si>
    <t>0900</t>
  </si>
  <si>
    <t>070000</t>
  </si>
  <si>
    <t>080000</t>
  </si>
  <si>
    <t>090000</t>
  </si>
  <si>
    <t>1030</t>
  </si>
  <si>
    <t>090201</t>
  </si>
  <si>
    <t>1061</t>
  </si>
  <si>
    <t>1040</t>
  </si>
  <si>
    <t>090401</t>
  </si>
  <si>
    <t>1010</t>
  </si>
  <si>
    <t>090413</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</si>
  <si>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</si>
  <si>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</si>
  <si>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</si>
  <si>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</si>
  <si>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</si>
  <si>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</si>
  <si>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</si>
  <si>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</si>
  <si>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</si>
  <si>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</si>
  <si>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</si>
  <si>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</si>
  <si>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</si>
  <si>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</si>
  <si>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</si>
  <si>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</si>
  <si>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</si>
  <si>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</si>
  <si>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</si>
  <si>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</si>
  <si>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</si>
  <si>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</si>
  <si>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</si>
  <si>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</si>
  <si>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</si>
  <si>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</si>
  <si>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</si>
  <si>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</si>
  <si>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</si>
  <si>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</si>
  <si>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</si>
  <si>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</si>
  <si>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</si>
  <si>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</si>
  <si>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</si>
  <si>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</si>
  <si>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</si>
  <si>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</si>
  <si>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</si>
  <si>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</si>
  <si>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</si>
  <si>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</si>
  <si>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</si>
  <si>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</si>
  <si>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</si>
  <si>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</si>
  <si>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</si>
  <si>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</si>
  <si>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</si>
  <si>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</si>
  <si>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</si>
  <si>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</si>
  <si>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</si>
  <si>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</si>
  <si>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</si>
  <si>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</si>
  <si>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</si>
  <si>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</si>
  <si>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</si>
  <si>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</si>
  <si>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</si>
  <si>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</si>
  <si>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</si>
  <si>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</si>
  <si>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</si>
  <si>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</si>
  <si>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</si>
  <si>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</si>
  <si>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</si>
  <si>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</si>
  <si>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</si>
  <si>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</si>
  <si>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</si>
  <si>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</si>
  <si>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</si>
  <si>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</si>
  <si>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Благоустрій  міста</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</si>
  <si>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</si>
  <si>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</si>
  <si>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</si>
  <si>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</si>
  <si>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</si>
  <si>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</si>
  <si>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</si>
  <si>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</si>
  <si>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</si>
  <si>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</si>
  <si>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</si>
  <si>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</si>
  <si>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</si>
  <si>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</si>
  <si>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</si>
  <si>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</si>
  <si>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</si>
  <si>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</si>
  <si>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</si>
  <si>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</si>
  <si>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</si>
  <si>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</si>
  <si>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</si>
  <si>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</si>
  <si>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</si>
  <si>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</si>
  <si>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</si>
  <si>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</si>
  <si>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</si>
  <si>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</si>
  <si>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</si>
  <si>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</si>
  <si>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</si>
  <si>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</si>
  <si>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</si>
  <si>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</si>
  <si>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</si>
  <si>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</si>
  <si>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</si>
  <si>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</si>
  <si>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</si>
  <si>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</si>
  <si>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</si>
  <si>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</si>
  <si>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</si>
  <si>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</si>
  <si>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</si>
  <si>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</si>
  <si>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</si>
  <si>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</si>
  <si>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</si>
  <si>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</si>
  <si>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</si>
  <si>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</si>
  <si>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</si>
  <si>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</si>
  <si>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</si>
  <si>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</si>
  <si>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</si>
  <si>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</si>
  <si>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</si>
  <si>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</si>
  <si>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</si>
  <si>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</si>
  <si>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</si>
  <si>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</si>
  <si>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</si>
  <si>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Субвенція з державного бюджету місцевим бюджетам на погашення заборгованості з різниці в тарифах на електроенергію</t>
  </si>
  <si>
    <t>Міська програма "Зайнятості населення м.Южноукраїнська" до 2017 року</t>
  </si>
  <si>
    <t>Субвенція з обласного бюджету на виконання депутатами обласної радидоручень виборців, відповідно до програм, затверджених обласною радою на 2013 рік</t>
  </si>
  <si>
    <t xml:space="preserve">Виконання                                      за січень-липень 2013 року                                     </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</si>
  <si>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</si>
  <si>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</si>
  <si>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</si>
  <si>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</si>
  <si>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</si>
  <si>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</si>
  <si>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</si>
  <si>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</si>
  <si>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</si>
  <si>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</si>
  <si>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</si>
  <si>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</si>
  <si>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Допомога по догляду за інвалідом І чи ІІ групи внаслідок психічного розладу (субвенція)</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</si>
  <si>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</si>
  <si>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</si>
  <si>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</si>
  <si>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</si>
  <si>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Управління житлово-комунального господарства</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</si>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</sst>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 numFmtId="184" formatCode="0.0000000"/>
  </numFmts>
  <fonts count="15">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0"/>
      <name val="Helv"/>
      <family val="0"/>
    </font>
    <font>
      <sz val="14"/>
      <name val="Times New Roman"/>
      <family val="1"/>
    </font>
    <font>
      <i/>
      <sz val="18"/>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7">
    <xf numFmtId="0" fontId="0" fillId="0" borderId="0" xfId="0" applyAlignment="1">
      <alignment/>
    </xf>
    <xf numFmtId="174" fontId="1" fillId="0" borderId="1" xfId="0" applyNumberFormat="1" applyFont="1" applyBorder="1" applyAlignment="1">
      <alignment/>
    </xf>
    <xf numFmtId="174" fontId="1" fillId="0" borderId="0" xfId="0" applyNumberFormat="1" applyFont="1" applyBorder="1" applyAlignment="1">
      <alignment/>
    </xf>
    <xf numFmtId="0" fontId="2" fillId="2" borderId="1" xfId="0" applyFont="1" applyFill="1" applyBorder="1" applyAlignment="1">
      <alignment wrapText="1"/>
    </xf>
    <xf numFmtId="174" fontId="1" fillId="0" borderId="1" xfId="0" applyNumberFormat="1" applyFont="1" applyBorder="1" applyAlignment="1">
      <alignment horizontal="right" wrapText="1"/>
    </xf>
    <xf numFmtId="174" fontId="1" fillId="0" borderId="1" xfId="0" applyNumberFormat="1" applyFont="1" applyFill="1" applyBorder="1" applyAlignment="1">
      <alignment horizontal="right" wrapText="1"/>
    </xf>
    <xf numFmtId="174" fontId="1" fillId="0" borderId="1" xfId="0" applyNumberFormat="1" applyFont="1" applyFill="1" applyBorder="1" applyAlignment="1">
      <alignment/>
    </xf>
    <xf numFmtId="0" fontId="2" fillId="2" borderId="1" xfId="0" applyFont="1" applyFill="1" applyBorder="1" applyAlignment="1">
      <alignment horizontal="left" wrapText="1"/>
    </xf>
    <xf numFmtId="174" fontId="1" fillId="2" borderId="1" xfId="0" applyNumberFormat="1" applyFont="1" applyFill="1" applyBorder="1" applyAlignment="1">
      <alignment horizontal="right" wrapText="1"/>
    </xf>
    <xf numFmtId="174" fontId="2" fillId="0" borderId="0" xfId="0" applyNumberFormat="1" applyFont="1" applyAlignment="1">
      <alignment/>
    </xf>
    <xf numFmtId="174" fontId="1" fillId="2" borderId="1" xfId="0" applyNumberFormat="1" applyFont="1" applyFill="1" applyBorder="1" applyAlignment="1">
      <alignment/>
    </xf>
    <xf numFmtId="174" fontId="1" fillId="3" borderId="1" xfId="0" applyNumberFormat="1" applyFont="1" applyFill="1" applyBorder="1" applyAlignment="1">
      <alignment/>
    </xf>
    <xf numFmtId="174" fontId="1" fillId="0" borderId="1" xfId="0" applyNumberFormat="1" applyFont="1" applyBorder="1" applyAlignment="1">
      <alignment horizontal="right"/>
    </xf>
    <xf numFmtId="0" fontId="1" fillId="0" borderId="1" xfId="0" applyFont="1" applyFill="1" applyBorder="1" applyAlignment="1">
      <alignment horizontal="right"/>
    </xf>
    <xf numFmtId="0" fontId="5" fillId="0" borderId="1" xfId="0" applyFont="1" applyBorder="1" applyAlignment="1">
      <alignment horizontal="center"/>
    </xf>
    <xf numFmtId="0" fontId="1" fillId="0" borderId="1" xfId="0" applyFont="1" applyBorder="1" applyAlignment="1">
      <alignment/>
    </xf>
    <xf numFmtId="49" fontId="1" fillId="0" borderId="1" xfId="0" applyNumberFormat="1" applyFont="1" applyBorder="1" applyAlignment="1">
      <alignment horizontal="left" wrapText="1"/>
    </xf>
    <xf numFmtId="49" fontId="1" fillId="0" borderId="1" xfId="0" applyNumberFormat="1" applyFont="1" applyBorder="1" applyAlignment="1">
      <alignment/>
    </xf>
    <xf numFmtId="0" fontId="1" fillId="0" borderId="1" xfId="0" applyFont="1" applyBorder="1" applyAlignment="1">
      <alignment wrapText="1"/>
    </xf>
    <xf numFmtId="49" fontId="2" fillId="2" borderId="1" xfId="0" applyNumberFormat="1" applyFont="1" applyFill="1" applyBorder="1" applyAlignment="1">
      <alignment horizontal="left" wrapText="1"/>
    </xf>
    <xf numFmtId="0" fontId="2" fillId="0" borderId="1" xfId="0" applyFont="1" applyBorder="1" applyAlignment="1">
      <alignment wrapText="1"/>
    </xf>
    <xf numFmtId="0" fontId="2" fillId="0" borderId="0" xfId="0" applyFont="1" applyAlignment="1">
      <alignment/>
    </xf>
    <xf numFmtId="49" fontId="2" fillId="2" borderId="1" xfId="0" applyNumberFormat="1" applyFont="1" applyFill="1" applyBorder="1" applyAlignment="1">
      <alignment wrapText="1"/>
    </xf>
    <xf numFmtId="49" fontId="2" fillId="0" borderId="1" xfId="0" applyNumberFormat="1" applyFont="1" applyBorder="1" applyAlignment="1">
      <alignment horizontal="left" wrapText="1"/>
    </xf>
    <xf numFmtId="0" fontId="1" fillId="0" borderId="1" xfId="0" applyNumberFormat="1" applyFont="1" applyBorder="1" applyAlignment="1">
      <alignment wrapText="1"/>
    </xf>
    <xf numFmtId="49" fontId="1" fillId="2" borderId="1" xfId="0" applyNumberFormat="1" applyFont="1" applyFill="1" applyBorder="1" applyAlignment="1">
      <alignment/>
    </xf>
    <xf numFmtId="0" fontId="2" fillId="2" borderId="1" xfId="0" applyFont="1" applyFill="1" applyBorder="1" applyAlignment="1">
      <alignment horizontal="left" vertical="center" wrapText="1"/>
    </xf>
    <xf numFmtId="49" fontId="1" fillId="0" borderId="1" xfId="0" applyNumberFormat="1" applyFont="1" applyBorder="1" applyAlignment="1">
      <alignment horizontal="left"/>
    </xf>
    <xf numFmtId="0" fontId="2" fillId="0" borderId="0" xfId="0" applyFont="1" applyFill="1" applyAlignment="1">
      <alignment/>
    </xf>
    <xf numFmtId="0" fontId="2" fillId="0" borderId="0" xfId="0" applyFont="1" applyBorder="1" applyAlignment="1">
      <alignment/>
    </xf>
    <xf numFmtId="0" fontId="2" fillId="2" borderId="0" xfId="0" applyFont="1" applyFill="1" applyBorder="1" applyAlignment="1">
      <alignment horizontal="center" vertical="center" wrapText="1"/>
    </xf>
    <xf numFmtId="0" fontId="2" fillId="2" borderId="0" xfId="0" applyFont="1" applyFill="1" applyAlignment="1">
      <alignment/>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174" fontId="1" fillId="0" borderId="0" xfId="0" applyNumberFormat="1" applyFont="1" applyBorder="1" applyAlignment="1">
      <alignment horizontal="right" wrapText="1"/>
    </xf>
    <xf numFmtId="174" fontId="1" fillId="2" borderId="0" xfId="0" applyNumberFormat="1" applyFont="1" applyFill="1" applyBorder="1" applyAlignment="1">
      <alignment horizontal="right" wrapText="1"/>
    </xf>
    <xf numFmtId="174" fontId="1" fillId="0" borderId="0" xfId="0" applyNumberFormat="1" applyFont="1" applyFill="1" applyBorder="1" applyAlignment="1">
      <alignment horizontal="right" wrapText="1"/>
    </xf>
    <xf numFmtId="174" fontId="1" fillId="0" borderId="0" xfId="0" applyNumberFormat="1" applyFont="1" applyBorder="1" applyAlignment="1">
      <alignment horizontal="right"/>
    </xf>
    <xf numFmtId="0" fontId="2" fillId="0" borderId="0" xfId="0" applyFont="1" applyAlignment="1">
      <alignment wrapText="1"/>
    </xf>
    <xf numFmtId="0" fontId="2" fillId="0" borderId="0" xfId="0" applyFont="1" applyAlignment="1">
      <alignment horizontal="center" wrapText="1"/>
    </xf>
    <xf numFmtId="174" fontId="2" fillId="0" borderId="0" xfId="0" applyNumberFormat="1" applyFont="1" applyAlignment="1">
      <alignment horizontal="center" wrapText="1"/>
    </xf>
    <xf numFmtId="174" fontId="2" fillId="0" borderId="0" xfId="0" applyNumberFormat="1" applyFont="1" applyFill="1" applyAlignment="1">
      <alignment horizontal="center" wrapText="1"/>
    </xf>
    <xf numFmtId="174" fontId="2" fillId="0" borderId="0" xfId="0" applyNumberFormat="1" applyFont="1" applyBorder="1" applyAlignment="1">
      <alignment/>
    </xf>
    <xf numFmtId="174" fontId="2" fillId="0" borderId="0" xfId="0" applyNumberFormat="1" applyFont="1" applyFill="1" applyAlignment="1">
      <alignment/>
    </xf>
    <xf numFmtId="0" fontId="2" fillId="0" borderId="1" xfId="0" applyFont="1" applyBorder="1" applyAlignment="1">
      <alignment horizontal="left" wrapText="1"/>
    </xf>
    <xf numFmtId="49" fontId="1" fillId="0" borderId="1" xfId="0" applyNumberFormat="1" applyFont="1" applyBorder="1" applyAlignment="1">
      <alignment horizontal="center"/>
    </xf>
    <xf numFmtId="49" fontId="2" fillId="2" borderId="1" xfId="0" applyNumberFormat="1" applyFont="1" applyFill="1" applyBorder="1" applyAlignment="1">
      <alignment horizontal="center" wrapText="1"/>
    </xf>
    <xf numFmtId="49" fontId="2" fillId="0" borderId="1" xfId="0" applyNumberFormat="1" applyFont="1" applyBorder="1" applyAlignment="1">
      <alignment horizontal="center" wrapText="1"/>
    </xf>
    <xf numFmtId="49" fontId="1" fillId="2" borderId="1"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xf>
    <xf numFmtId="0" fontId="2" fillId="0" borderId="1" xfId="0" applyFont="1" applyFill="1" applyBorder="1" applyAlignment="1">
      <alignment horizontal="left" wrapText="1"/>
    </xf>
    <xf numFmtId="0" fontId="9" fillId="0" borderId="0" xfId="0" applyFont="1" applyBorder="1" applyAlignment="1">
      <alignment horizontal="center"/>
    </xf>
    <xf numFmtId="0" fontId="10" fillId="0" borderId="0" xfId="0" applyFont="1" applyBorder="1" applyAlignment="1">
      <alignment horizontal="center" wrapText="1"/>
    </xf>
    <xf numFmtId="0" fontId="11" fillId="0" borderId="0" xfId="0" applyFont="1" applyBorder="1" applyAlignment="1">
      <alignment horizontal="center"/>
    </xf>
    <xf numFmtId="174" fontId="1" fillId="0" borderId="0" xfId="0" applyNumberFormat="1" applyFont="1" applyFill="1" applyBorder="1" applyAlignment="1">
      <alignment/>
    </xf>
    <xf numFmtId="181" fontId="7" fillId="0" borderId="0" xfId="0" applyNumberFormat="1" applyFont="1" applyFill="1" applyAlignment="1">
      <alignment/>
    </xf>
    <xf numFmtId="174" fontId="1" fillId="2" borderId="1" xfId="0" applyNumberFormat="1" applyFont="1" applyFill="1" applyBorder="1" applyAlignment="1">
      <alignment horizontal="right"/>
    </xf>
    <xf numFmtId="181" fontId="8" fillId="0" borderId="0" xfId="0" applyNumberFormat="1" applyFont="1" applyAlignment="1">
      <alignment/>
    </xf>
    <xf numFmtId="0" fontId="2" fillId="0" borderId="1" xfId="0" applyFont="1" applyFill="1" applyBorder="1" applyAlignment="1">
      <alignment wrapText="1"/>
    </xf>
    <xf numFmtId="49" fontId="1" fillId="0" borderId="1" xfId="0" applyNumberFormat="1" applyFont="1" applyFill="1" applyBorder="1" applyAlignment="1">
      <alignment horizontal="center"/>
    </xf>
    <xf numFmtId="0" fontId="2" fillId="0" borderId="1" xfId="0" applyNumberFormat="1" applyFont="1" applyFill="1" applyBorder="1" applyAlignment="1">
      <alignment wrapText="1"/>
    </xf>
    <xf numFmtId="49" fontId="1" fillId="0" borderId="2" xfId="0" applyNumberFormat="1" applyFont="1" applyBorder="1" applyAlignment="1">
      <alignment horizontal="center"/>
    </xf>
    <xf numFmtId="174" fontId="1" fillId="0" borderId="2" xfId="0" applyNumberFormat="1" applyFont="1" applyBorder="1" applyAlignment="1">
      <alignment horizontal="right"/>
    </xf>
    <xf numFmtId="174" fontId="1" fillId="0" borderId="2" xfId="0" applyNumberFormat="1" applyFont="1" applyFill="1" applyBorder="1" applyAlignment="1">
      <alignment horizontal="right" wrapText="1"/>
    </xf>
    <xf numFmtId="174" fontId="1" fillId="0" borderId="2" xfId="0" applyNumberFormat="1" applyFont="1" applyBorder="1" applyAlignment="1">
      <alignment horizontal="right" wrapText="1"/>
    </xf>
    <xf numFmtId="174" fontId="1" fillId="0" borderId="2" xfId="0" applyNumberFormat="1" applyFont="1" applyBorder="1" applyAlignment="1">
      <alignment/>
    </xf>
    <xf numFmtId="174" fontId="1" fillId="0" borderId="1" xfId="0" applyNumberFormat="1" applyFont="1" applyFill="1" applyBorder="1" applyAlignment="1">
      <alignment horizontal="right"/>
    </xf>
    <xf numFmtId="49" fontId="2" fillId="0" borderId="1" xfId="0" applyNumberFormat="1" applyFont="1" applyFill="1" applyBorder="1" applyAlignment="1">
      <alignment horizontal="center" wrapText="1"/>
    </xf>
    <xf numFmtId="174" fontId="1" fillId="0" borderId="2" xfId="0" applyNumberFormat="1" applyFont="1" applyFill="1" applyBorder="1" applyAlignment="1">
      <alignment/>
    </xf>
    <xf numFmtId="0" fontId="1" fillId="0" borderId="1" xfId="0" applyFont="1" applyFill="1" applyBorder="1" applyAlignment="1">
      <alignment wrapText="1"/>
    </xf>
    <xf numFmtId="49" fontId="1" fillId="0" borderId="2" xfId="0" applyNumberFormat="1" applyFont="1" applyFill="1" applyBorder="1" applyAlignment="1">
      <alignment horizontal="center"/>
    </xf>
    <xf numFmtId="174" fontId="1" fillId="0" borderId="2" xfId="0" applyNumberFormat="1" applyFont="1" applyFill="1" applyBorder="1" applyAlignment="1">
      <alignment horizontal="right"/>
    </xf>
    <xf numFmtId="181" fontId="13" fillId="0" borderId="0" xfId="0" applyNumberFormat="1" applyFont="1" applyAlignment="1">
      <alignment/>
    </xf>
    <xf numFmtId="0" fontId="13" fillId="0" borderId="0" xfId="0" applyNumberFormat="1" applyFont="1" applyFill="1" applyBorder="1" applyAlignment="1" applyProtection="1">
      <alignment/>
      <protection/>
    </xf>
    <xf numFmtId="49" fontId="1"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justify" wrapText="1"/>
    </xf>
    <xf numFmtId="0" fontId="2" fillId="2" borderId="3" xfId="0" applyFont="1" applyFill="1" applyBorder="1" applyAlignment="1">
      <alignment wrapText="1"/>
    </xf>
    <xf numFmtId="0" fontId="2" fillId="0" borderId="3" xfId="0" applyFont="1" applyFill="1" applyBorder="1" applyAlignment="1">
      <alignment wrapText="1"/>
    </xf>
    <xf numFmtId="0" fontId="2" fillId="2" borderId="4" xfId="0" applyFont="1" applyFill="1" applyBorder="1" applyAlignment="1">
      <alignment wrapText="1"/>
    </xf>
    <xf numFmtId="173" fontId="1" fillId="0" borderId="1" xfId="0" applyNumberFormat="1" applyFont="1" applyFill="1" applyBorder="1" applyAlignment="1">
      <alignment/>
    </xf>
    <xf numFmtId="0" fontId="2" fillId="0" borderId="2" xfId="0" applyFont="1" applyFill="1" applyBorder="1" applyAlignment="1">
      <alignment horizontal="left" wrapText="1"/>
    </xf>
    <xf numFmtId="0" fontId="1" fillId="0" borderId="1" xfId="0" applyNumberFormat="1" applyFont="1" applyFill="1" applyBorder="1" applyAlignment="1">
      <alignment wrapText="1"/>
    </xf>
    <xf numFmtId="174" fontId="1" fillId="0" borderId="3" xfId="0" applyNumberFormat="1" applyFont="1" applyFill="1" applyBorder="1" applyAlignment="1">
      <alignment/>
    </xf>
    <xf numFmtId="173" fontId="1" fillId="0" borderId="0" xfId="0" applyNumberFormat="1" applyFont="1" applyFill="1" applyBorder="1" applyAlignment="1">
      <alignment/>
    </xf>
    <xf numFmtId="49" fontId="1" fillId="0" borderId="1" xfId="0" applyNumberFormat="1" applyFont="1" applyFill="1" applyBorder="1" applyAlignment="1">
      <alignment/>
    </xf>
    <xf numFmtId="0" fontId="5" fillId="0" borderId="1" xfId="0" applyFont="1" applyFill="1" applyBorder="1" applyAlignment="1">
      <alignment horizontal="center"/>
    </xf>
    <xf numFmtId="0" fontId="5" fillId="0" borderId="2" xfId="0" applyFont="1" applyFill="1" applyBorder="1" applyAlignment="1">
      <alignment horizontal="center"/>
    </xf>
    <xf numFmtId="0" fontId="1" fillId="0" borderId="1" xfId="0" applyFont="1" applyFill="1" applyBorder="1" applyAlignment="1">
      <alignment horizontal="left"/>
    </xf>
    <xf numFmtId="0" fontId="5" fillId="0" borderId="3" xfId="0" applyFont="1" applyFill="1" applyBorder="1" applyAlignment="1">
      <alignment horizontal="center"/>
    </xf>
    <xf numFmtId="0" fontId="1" fillId="0" borderId="1" xfId="0" applyFont="1" applyFill="1" applyBorder="1" applyAlignment="1">
      <alignment horizontal="center"/>
    </xf>
    <xf numFmtId="0" fontId="1" fillId="0" borderId="5" xfId="0" applyFont="1" applyFill="1" applyBorder="1" applyAlignment="1">
      <alignment horizontal="left" wrapText="1"/>
    </xf>
    <xf numFmtId="49" fontId="1" fillId="0" borderId="1" xfId="0" applyNumberFormat="1" applyFont="1" applyFill="1" applyBorder="1" applyAlignment="1">
      <alignment horizontal="left"/>
    </xf>
    <xf numFmtId="0" fontId="2" fillId="0" borderId="0" xfId="0" applyFont="1" applyFill="1" applyAlignment="1">
      <alignment wrapText="1"/>
    </xf>
    <xf numFmtId="0" fontId="2" fillId="2" borderId="3" xfId="0" applyFont="1" applyFill="1" applyBorder="1" applyAlignment="1">
      <alignment horizontal="left" wrapText="1"/>
    </xf>
    <xf numFmtId="174" fontId="2" fillId="0" borderId="1" xfId="0" applyNumberFormat="1" applyFont="1" applyFill="1" applyBorder="1" applyAlignment="1">
      <alignment/>
    </xf>
    <xf numFmtId="0" fontId="1" fillId="0" borderId="2" xfId="0" applyFont="1" applyFill="1" applyBorder="1" applyAlignment="1">
      <alignment horizontal="right"/>
    </xf>
    <xf numFmtId="49" fontId="1" fillId="0" borderId="6"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2" fillId="0" borderId="0" xfId="0" applyFont="1" applyAlignment="1">
      <alignment horizontal="left" wrapText="1"/>
    </xf>
    <xf numFmtId="0" fontId="2" fillId="0" borderId="0" xfId="0" applyFont="1" applyAlignment="1">
      <alignment horizontal="center"/>
    </xf>
    <xf numFmtId="0" fontId="2" fillId="0" borderId="7" xfId="0" applyFont="1" applyBorder="1" applyAlignment="1">
      <alignment horizontal="right"/>
    </xf>
    <xf numFmtId="0" fontId="6" fillId="0" borderId="8" xfId="0" applyFont="1" applyBorder="1" applyAlignment="1">
      <alignment horizontal="center" wrapText="1"/>
    </xf>
    <xf numFmtId="0" fontId="6" fillId="0" borderId="5" xfId="0" applyFont="1" applyBorder="1" applyAlignment="1">
      <alignment horizontal="center" wrapText="1"/>
    </xf>
    <xf numFmtId="0" fontId="5" fillId="0" borderId="8" xfId="0" applyFont="1" applyFill="1" applyBorder="1" applyAlignment="1">
      <alignment horizontal="center"/>
    </xf>
    <xf numFmtId="0" fontId="5" fillId="0" borderId="5" xfId="0" applyFont="1" applyFill="1" applyBorder="1" applyAlignment="1">
      <alignment horizontal="center"/>
    </xf>
    <xf numFmtId="49" fontId="13" fillId="0" borderId="0" xfId="0" applyNumberFormat="1" applyFont="1" applyFill="1" applyAlignment="1">
      <alignment horizontal="left" wrapText="1"/>
    </xf>
    <xf numFmtId="181" fontId="13" fillId="0" borderId="9" xfId="0" applyNumberFormat="1" applyFont="1" applyFill="1" applyBorder="1" applyAlignment="1">
      <alignment horizontal="right"/>
    </xf>
    <xf numFmtId="181" fontId="8" fillId="0" borderId="0" xfId="0" applyNumberFormat="1" applyFont="1" applyAlignment="1">
      <alignment horizontal="right"/>
    </xf>
    <xf numFmtId="0" fontId="13" fillId="0" borderId="0" xfId="0" applyFont="1" applyAlignment="1">
      <alignment horizontal="center"/>
    </xf>
    <xf numFmtId="49" fontId="13" fillId="0" borderId="9" xfId="0" applyNumberFormat="1" applyFont="1" applyFill="1" applyBorder="1" applyAlignment="1">
      <alignment horizontal="left" wrapText="1"/>
    </xf>
    <xf numFmtId="181" fontId="13" fillId="0" borderId="0" xfId="0" applyNumberFormat="1" applyFont="1" applyAlignment="1">
      <alignment horizontal="center"/>
    </xf>
    <xf numFmtId="0" fontId="7" fillId="0" borderId="0" xfId="0" applyFont="1" applyAlignment="1">
      <alignment/>
    </xf>
    <xf numFmtId="181" fontId="7" fillId="0" borderId="0" xfId="0" applyNumberFormat="1" applyFont="1" applyAlignment="1">
      <alignment/>
    </xf>
    <xf numFmtId="181" fontId="7" fillId="0" borderId="0" xfId="0" applyNumberFormat="1" applyFont="1" applyAlignment="1">
      <alignment horizontal="left"/>
    </xf>
    <xf numFmtId="0" fontId="7" fillId="0" borderId="0" xfId="0" applyNumberFormat="1" applyFont="1" applyFill="1" applyBorder="1" applyAlignment="1" applyProtection="1">
      <alignment/>
      <protection/>
    </xf>
    <xf numFmtId="0" fontId="7" fillId="0" borderId="0" xfId="0" applyFont="1" applyAlignment="1">
      <alignment horizontal="center"/>
    </xf>
    <xf numFmtId="0" fontId="7" fillId="0" borderId="0" xfId="0" applyFont="1" applyAlignment="1">
      <alignment horizontal="center"/>
    </xf>
    <xf numFmtId="0" fontId="7" fillId="0" borderId="0" xfId="0" applyFont="1" applyBorder="1" applyAlignment="1">
      <alignment/>
    </xf>
    <xf numFmtId="0" fontId="14" fillId="0" borderId="0"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17"/>
  <sheetViews>
    <sheetView workbookViewId="0" topLeftCell="B1">
      <selection activeCell="C17" sqref="C17"/>
    </sheetView>
  </sheetViews>
  <sheetFormatPr defaultColWidth="9.00390625" defaultRowHeight="12.75"/>
  <cols>
    <col min="1" max="1" width="7.75390625" style="21" hidden="1" customWidth="1"/>
    <col min="2" max="2" width="15.00390625" style="21" customWidth="1"/>
    <col min="3" max="3" width="61.2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7" customHeight="1">
      <c r="C1" s="62"/>
      <c r="D1" s="62"/>
      <c r="E1" s="62" t="s">
        <v>27</v>
      </c>
      <c r="F1" s="77" t="s">
        <v>29</v>
      </c>
      <c r="G1" s="62"/>
      <c r="H1" s="62"/>
      <c r="I1" s="62"/>
    </row>
    <row r="2" spans="3:9" s="52" customFormat="1" ht="26.25" customHeight="1" hidden="1">
      <c r="C2" s="115" t="s">
        <v>291</v>
      </c>
      <c r="D2" s="115"/>
      <c r="E2" s="115"/>
      <c r="F2" s="115"/>
      <c r="G2" s="115"/>
      <c r="H2" s="115"/>
      <c r="I2" s="115"/>
    </row>
    <row r="3" spans="3:9" s="52" customFormat="1" ht="25.5" customHeight="1" hidden="1">
      <c r="C3" s="115" t="s">
        <v>76</v>
      </c>
      <c r="D3" s="115"/>
      <c r="E3" s="115"/>
      <c r="F3" s="115"/>
      <c r="G3" s="115"/>
      <c r="H3" s="115"/>
      <c r="I3" s="115"/>
    </row>
    <row r="4" spans="5:9" s="52" customFormat="1" ht="24.75" customHeight="1">
      <c r="E4" s="62"/>
      <c r="F4" s="78" t="s">
        <v>95</v>
      </c>
      <c r="G4" s="62"/>
      <c r="H4" s="53"/>
      <c r="I4" s="53"/>
    </row>
    <row r="5" spans="5:9" s="52" customFormat="1" ht="24.75" customHeight="1">
      <c r="E5" s="62"/>
      <c r="F5" s="78" t="s">
        <v>97</v>
      </c>
      <c r="G5" s="62"/>
      <c r="H5" s="53"/>
      <c r="I5" s="53"/>
    </row>
    <row r="6" spans="1:12" s="52" customFormat="1" ht="24.75" customHeight="1">
      <c r="A6" s="116" t="s">
        <v>24</v>
      </c>
      <c r="B6" s="116"/>
      <c r="C6" s="116"/>
      <c r="D6" s="116"/>
      <c r="E6" s="116"/>
      <c r="F6" s="116"/>
      <c r="G6" s="116"/>
      <c r="H6" s="116"/>
      <c r="I6" s="116"/>
      <c r="J6" s="53"/>
      <c r="L6" s="54"/>
    </row>
    <row r="7" spans="1:12" s="52" customFormat="1" ht="26.25">
      <c r="A7" s="116" t="s">
        <v>30</v>
      </c>
      <c r="B7" s="116"/>
      <c r="C7" s="116"/>
      <c r="D7" s="116"/>
      <c r="E7" s="116"/>
      <c r="F7" s="116"/>
      <c r="G7" s="116"/>
      <c r="H7" s="116"/>
      <c r="I7" s="116"/>
      <c r="J7" s="56"/>
      <c r="L7" s="54"/>
    </row>
    <row r="8" spans="8:13" ht="15.75">
      <c r="H8" s="108"/>
      <c r="I8" s="108"/>
      <c r="J8" s="30"/>
      <c r="K8" s="31"/>
      <c r="L8" s="30"/>
      <c r="M8" s="31"/>
    </row>
    <row r="9" spans="1:12" ht="78.75">
      <c r="A9" s="32" t="s">
        <v>292</v>
      </c>
      <c r="B9" s="32" t="s">
        <v>293</v>
      </c>
      <c r="C9" s="32" t="s">
        <v>294</v>
      </c>
      <c r="D9" s="33" t="s">
        <v>217</v>
      </c>
      <c r="E9" s="32" t="s">
        <v>456</v>
      </c>
      <c r="F9" s="32" t="s">
        <v>218</v>
      </c>
      <c r="G9" s="33" t="s">
        <v>451</v>
      </c>
      <c r="H9" s="32" t="s">
        <v>112</v>
      </c>
      <c r="I9" s="32" t="s">
        <v>113</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295</v>
      </c>
      <c r="B12" s="79" t="s">
        <v>296</v>
      </c>
      <c r="C12" s="80" t="s">
        <v>98</v>
      </c>
      <c r="D12" s="5">
        <f>SUM(D13:D21)</f>
        <v>11333.90986</v>
      </c>
      <c r="E12" s="5">
        <f>SUM(E13:E21)</f>
        <v>3613.0000000000005</v>
      </c>
      <c r="F12" s="5">
        <f>SUM(F13:F21)</f>
        <v>2274.3210500000005</v>
      </c>
      <c r="G12" s="5" t="e">
        <f>SUM(G13:G21)</f>
        <v>#REF!</v>
      </c>
      <c r="H12" s="5">
        <f aca="true" t="shared" si="0" ref="H12:H36">F12-D12</f>
        <v>-9059.58881</v>
      </c>
      <c r="I12" s="6">
        <f aca="true" t="shared" si="1" ref="I12:I28">F12/D12*100</f>
        <v>20.06651789270539</v>
      </c>
      <c r="J12" s="2"/>
      <c r="L12" s="37"/>
    </row>
    <row r="13" spans="1:12" ht="15.75">
      <c r="A13" s="17" t="s">
        <v>295</v>
      </c>
      <c r="B13" s="48" t="s">
        <v>296</v>
      </c>
      <c r="C13" s="18" t="s">
        <v>114</v>
      </c>
      <c r="D13" s="6">
        <v>661.187</v>
      </c>
      <c r="E13" s="1">
        <v>314.3</v>
      </c>
      <c r="F13" s="4">
        <v>165.57632</v>
      </c>
      <c r="G13" s="5">
        <f aca="true" t="shared" si="2" ref="G13:G19">F13-L12</f>
        <v>165.57632</v>
      </c>
      <c r="H13" s="4">
        <f t="shared" si="0"/>
        <v>-495.61068</v>
      </c>
      <c r="I13" s="1">
        <f t="shared" si="1"/>
        <v>25.042283045492425</v>
      </c>
      <c r="J13" s="2"/>
      <c r="L13" s="37"/>
    </row>
    <row r="14" spans="1:12" ht="31.5">
      <c r="A14" s="17" t="s">
        <v>295</v>
      </c>
      <c r="B14" s="48" t="s">
        <v>296</v>
      </c>
      <c r="C14" s="18" t="s">
        <v>118</v>
      </c>
      <c r="D14" s="6">
        <v>5210.09256</v>
      </c>
      <c r="E14" s="1">
        <v>1487.3</v>
      </c>
      <c r="F14" s="4">
        <v>1002.37968</v>
      </c>
      <c r="G14" s="5">
        <f t="shared" si="2"/>
        <v>1002.37968</v>
      </c>
      <c r="H14" s="4">
        <f t="shared" si="0"/>
        <v>-4207.71288</v>
      </c>
      <c r="I14" s="1">
        <f t="shared" si="1"/>
        <v>19.239191405075537</v>
      </c>
      <c r="J14" s="2"/>
      <c r="L14" s="37"/>
    </row>
    <row r="15" spans="1:12" ht="47.25">
      <c r="A15" s="17"/>
      <c r="B15" s="48" t="s">
        <v>296</v>
      </c>
      <c r="C15" s="18" t="s">
        <v>251</v>
      </c>
      <c r="D15" s="6">
        <v>42.653</v>
      </c>
      <c r="E15" s="1"/>
      <c r="F15" s="4">
        <v>3.356</v>
      </c>
      <c r="G15" s="5"/>
      <c r="H15" s="4">
        <f>F15-D15</f>
        <v>-39.297</v>
      </c>
      <c r="I15" s="1">
        <f>F15/D15*100</f>
        <v>7.868145265280285</v>
      </c>
      <c r="J15" s="2"/>
      <c r="L15" s="37"/>
    </row>
    <row r="16" spans="1:12" ht="31.5">
      <c r="A16" s="17" t="s">
        <v>295</v>
      </c>
      <c r="B16" s="48" t="s">
        <v>296</v>
      </c>
      <c r="C16" s="18" t="s">
        <v>119</v>
      </c>
      <c r="D16" s="6">
        <v>1142.398</v>
      </c>
      <c r="E16" s="1">
        <v>432.3</v>
      </c>
      <c r="F16" s="4">
        <v>240.31233</v>
      </c>
      <c r="G16" s="5">
        <f>F16-L14</f>
        <v>240.31233</v>
      </c>
      <c r="H16" s="4">
        <f t="shared" si="0"/>
        <v>-902.0856699999999</v>
      </c>
      <c r="I16" s="1">
        <f t="shared" si="1"/>
        <v>21.03577999961485</v>
      </c>
      <c r="J16" s="2"/>
      <c r="L16" s="37"/>
    </row>
    <row r="17" spans="1:12" ht="31.5">
      <c r="A17" s="17" t="s">
        <v>295</v>
      </c>
      <c r="B17" s="48" t="s">
        <v>296</v>
      </c>
      <c r="C17" s="7" t="s">
        <v>120</v>
      </c>
      <c r="D17" s="6">
        <v>1838.62908</v>
      </c>
      <c r="E17" s="1">
        <v>549.7</v>
      </c>
      <c r="F17" s="4">
        <v>372.45613</v>
      </c>
      <c r="G17" s="5">
        <f t="shared" si="2"/>
        <v>372.45613</v>
      </c>
      <c r="H17" s="4">
        <f t="shared" si="0"/>
        <v>-1466.17295</v>
      </c>
      <c r="I17" s="1">
        <f t="shared" si="1"/>
        <v>20.257273968493962</v>
      </c>
      <c r="J17" s="2"/>
      <c r="L17" s="37"/>
    </row>
    <row r="18" spans="1:12" ht="47.25">
      <c r="A18" s="17" t="s">
        <v>295</v>
      </c>
      <c r="B18" s="48" t="s">
        <v>296</v>
      </c>
      <c r="C18" s="7" t="s">
        <v>121</v>
      </c>
      <c r="D18" s="6">
        <v>846.4</v>
      </c>
      <c r="E18" s="1">
        <v>309</v>
      </c>
      <c r="F18" s="4">
        <v>154.14383</v>
      </c>
      <c r="G18" s="5">
        <f t="shared" si="2"/>
        <v>154.14383</v>
      </c>
      <c r="H18" s="4">
        <f t="shared" si="0"/>
        <v>-692.25617</v>
      </c>
      <c r="I18" s="1">
        <f t="shared" si="1"/>
        <v>18.21170014177694</v>
      </c>
      <c r="J18" s="2"/>
      <c r="L18" s="37"/>
    </row>
    <row r="19" spans="1:12" ht="31.5">
      <c r="A19" s="17" t="s">
        <v>295</v>
      </c>
      <c r="B19" s="48" t="s">
        <v>296</v>
      </c>
      <c r="C19" s="7" t="s">
        <v>122</v>
      </c>
      <c r="D19" s="6">
        <v>761.1878</v>
      </c>
      <c r="E19" s="1">
        <v>258.7</v>
      </c>
      <c r="F19" s="4">
        <v>163.00487</v>
      </c>
      <c r="G19" s="5">
        <f t="shared" si="2"/>
        <v>163.00487</v>
      </c>
      <c r="H19" s="4">
        <f t="shared" si="0"/>
        <v>-598.18293</v>
      </c>
      <c r="I19" s="1">
        <f t="shared" si="1"/>
        <v>21.414540537827854</v>
      </c>
      <c r="J19" s="2"/>
      <c r="L19" s="37"/>
    </row>
    <row r="20" spans="1:12" ht="31.5">
      <c r="A20" s="17" t="s">
        <v>295</v>
      </c>
      <c r="B20" s="48" t="s">
        <v>296</v>
      </c>
      <c r="C20" s="18" t="s">
        <v>123</v>
      </c>
      <c r="D20" s="6">
        <v>441.5034</v>
      </c>
      <c r="E20" s="1">
        <v>132.9</v>
      </c>
      <c r="F20" s="4">
        <v>94.41898</v>
      </c>
      <c r="G20" s="5" t="e">
        <f>F20-#REF!</f>
        <v>#REF!</v>
      </c>
      <c r="H20" s="4">
        <f t="shared" si="0"/>
        <v>-347.08442</v>
      </c>
      <c r="I20" s="1">
        <f t="shared" si="1"/>
        <v>21.38578774251795</v>
      </c>
      <c r="J20" s="2"/>
      <c r="L20" s="37"/>
    </row>
    <row r="21" spans="1:12" ht="31.5">
      <c r="A21" s="17" t="s">
        <v>295</v>
      </c>
      <c r="B21" s="48" t="s">
        <v>296</v>
      </c>
      <c r="C21" s="18" t="s">
        <v>124</v>
      </c>
      <c r="D21" s="6">
        <v>389.85902</v>
      </c>
      <c r="E21" s="1">
        <v>128.8</v>
      </c>
      <c r="F21" s="4">
        <v>78.67291</v>
      </c>
      <c r="G21" s="5">
        <f>F21-L20</f>
        <v>78.67291</v>
      </c>
      <c r="H21" s="4">
        <f t="shared" si="0"/>
        <v>-311.18611</v>
      </c>
      <c r="I21" s="1">
        <f t="shared" si="1"/>
        <v>20.179835777558772</v>
      </c>
      <c r="J21" s="2"/>
      <c r="L21" s="2"/>
    </row>
    <row r="22" spans="1:12" ht="63">
      <c r="A22" s="17"/>
      <c r="B22" s="72" t="s">
        <v>478</v>
      </c>
      <c r="C22" s="55" t="s">
        <v>125</v>
      </c>
      <c r="D22" s="46">
        <v>40</v>
      </c>
      <c r="E22" s="46"/>
      <c r="F22" s="5">
        <v>0</v>
      </c>
      <c r="G22" s="5"/>
      <c r="H22" s="5">
        <f t="shared" si="0"/>
        <v>-40</v>
      </c>
      <c r="I22" s="6">
        <f t="shared" si="1"/>
        <v>0</v>
      </c>
      <c r="J22" s="2"/>
      <c r="L22" s="2"/>
    </row>
    <row r="23" spans="1:12" ht="15.75">
      <c r="A23" s="17" t="s">
        <v>297</v>
      </c>
      <c r="B23" s="64" t="s">
        <v>298</v>
      </c>
      <c r="C23" s="74" t="s">
        <v>99</v>
      </c>
      <c r="D23" s="6">
        <f>SUM(D24:D30)</f>
        <v>61618.128319999996</v>
      </c>
      <c r="E23" s="6">
        <f>SUM(E24:E30)</f>
        <v>21838.1</v>
      </c>
      <c r="F23" s="6">
        <f>SUM(F24:F30)</f>
        <v>14799.898869999999</v>
      </c>
      <c r="G23" s="6">
        <f>SUM(G24:G30)</f>
        <v>14799.898869999999</v>
      </c>
      <c r="H23" s="5">
        <f t="shared" si="0"/>
        <v>-46818.22945</v>
      </c>
      <c r="I23" s="6">
        <f t="shared" si="1"/>
        <v>24.018741356667032</v>
      </c>
      <c r="J23" s="2"/>
      <c r="L23" s="37"/>
    </row>
    <row r="24" spans="1:12" ht="15.75">
      <c r="A24" s="17" t="s">
        <v>357</v>
      </c>
      <c r="B24" s="64" t="s">
        <v>356</v>
      </c>
      <c r="C24" s="74" t="s">
        <v>393</v>
      </c>
      <c r="D24" s="6">
        <v>22266.18017</v>
      </c>
      <c r="E24" s="6">
        <v>7100.2</v>
      </c>
      <c r="F24" s="5">
        <v>5222.09124</v>
      </c>
      <c r="G24" s="5">
        <f>F24-L23</f>
        <v>5222.09124</v>
      </c>
      <c r="H24" s="5">
        <f t="shared" si="0"/>
        <v>-17044.088929999998</v>
      </c>
      <c r="I24" s="6">
        <f t="shared" si="1"/>
        <v>23.453017985706882</v>
      </c>
      <c r="J24" s="2"/>
      <c r="L24" s="37"/>
    </row>
    <row r="25" spans="1:12" ht="31.5" hidden="1">
      <c r="A25" s="17"/>
      <c r="B25" s="64" t="s">
        <v>356</v>
      </c>
      <c r="C25" s="74" t="s">
        <v>126</v>
      </c>
      <c r="D25" s="6">
        <v>0</v>
      </c>
      <c r="E25" s="6"/>
      <c r="F25" s="5">
        <v>0</v>
      </c>
      <c r="G25" s="5"/>
      <c r="H25" s="5">
        <f t="shared" si="0"/>
        <v>0</v>
      </c>
      <c r="I25" s="6" t="e">
        <f t="shared" si="1"/>
        <v>#DIV/0!</v>
      </c>
      <c r="J25" s="2"/>
      <c r="L25" s="37"/>
    </row>
    <row r="26" spans="1:12" ht="15.75">
      <c r="A26" s="17" t="s">
        <v>359</v>
      </c>
      <c r="B26" s="64" t="s">
        <v>358</v>
      </c>
      <c r="C26" s="74" t="s">
        <v>394</v>
      </c>
      <c r="D26" s="6">
        <v>32189.61369</v>
      </c>
      <c r="E26" s="6">
        <v>12055.3</v>
      </c>
      <c r="F26" s="5">
        <v>7919.83531</v>
      </c>
      <c r="G26" s="5">
        <f>F26-L24</f>
        <v>7919.83531</v>
      </c>
      <c r="H26" s="5">
        <f t="shared" si="0"/>
        <v>-24269.778379999996</v>
      </c>
      <c r="I26" s="6">
        <f t="shared" si="1"/>
        <v>24.603697907876324</v>
      </c>
      <c r="J26" s="2"/>
      <c r="L26" s="37"/>
    </row>
    <row r="27" spans="1:12" ht="31.5">
      <c r="A27" s="17" t="s">
        <v>357</v>
      </c>
      <c r="B27" s="64" t="s">
        <v>457</v>
      </c>
      <c r="C27" s="74" t="s">
        <v>127</v>
      </c>
      <c r="D27" s="6">
        <v>230.5</v>
      </c>
      <c r="E27" s="6">
        <v>59.1</v>
      </c>
      <c r="F27" s="5">
        <v>63.02406</v>
      </c>
      <c r="G27" s="5">
        <f>F27-L26</f>
        <v>63.02406</v>
      </c>
      <c r="H27" s="5">
        <f t="shared" si="0"/>
        <v>-167.47594</v>
      </c>
      <c r="I27" s="6">
        <f t="shared" si="1"/>
        <v>27.342325379609544</v>
      </c>
      <c r="J27" s="2"/>
      <c r="L27" s="37"/>
    </row>
    <row r="28" spans="1:12" ht="21.75" customHeight="1">
      <c r="A28" s="17" t="s">
        <v>361</v>
      </c>
      <c r="B28" s="64" t="s">
        <v>360</v>
      </c>
      <c r="C28" s="74" t="s">
        <v>395</v>
      </c>
      <c r="D28" s="6">
        <v>3221.714</v>
      </c>
      <c r="E28" s="6">
        <v>1069.7</v>
      </c>
      <c r="F28" s="5">
        <v>710.09096</v>
      </c>
      <c r="G28" s="5">
        <f>F28-L27</f>
        <v>710.09096</v>
      </c>
      <c r="H28" s="5">
        <f t="shared" si="0"/>
        <v>-2511.62304</v>
      </c>
      <c r="I28" s="6">
        <f t="shared" si="1"/>
        <v>22.04078201851561</v>
      </c>
      <c r="J28" s="2"/>
      <c r="L28" s="37"/>
    </row>
    <row r="29" spans="1:12" ht="19.5" customHeight="1" hidden="1">
      <c r="A29" s="17" t="s">
        <v>361</v>
      </c>
      <c r="B29" s="64" t="s">
        <v>360</v>
      </c>
      <c r="C29" s="74" t="s">
        <v>388</v>
      </c>
      <c r="D29" s="6"/>
      <c r="E29" s="6"/>
      <c r="F29" s="5"/>
      <c r="G29" s="5">
        <f>F29-L28</f>
        <v>0</v>
      </c>
      <c r="H29" s="5">
        <f t="shared" si="0"/>
        <v>0</v>
      </c>
      <c r="I29" s="6"/>
      <c r="J29" s="2"/>
      <c r="L29" s="37"/>
    </row>
    <row r="30" spans="1:12" ht="15.75">
      <c r="A30" s="17" t="s">
        <v>362</v>
      </c>
      <c r="B30" s="64" t="s">
        <v>363</v>
      </c>
      <c r="C30" s="74" t="s">
        <v>100</v>
      </c>
      <c r="D30" s="5">
        <f>SUM(D31:D37)</f>
        <v>3710.12046</v>
      </c>
      <c r="E30" s="5">
        <f>SUM(E31:E37)</f>
        <v>1553.8000000000002</v>
      </c>
      <c r="F30" s="5">
        <f>SUM(F31:F37)</f>
        <v>884.8573</v>
      </c>
      <c r="G30" s="5">
        <f>SUM(G31:G37)</f>
        <v>884.8573</v>
      </c>
      <c r="H30" s="5">
        <f t="shared" si="0"/>
        <v>-2825.26316</v>
      </c>
      <c r="I30" s="6">
        <f aca="true" t="shared" si="3" ref="I30:I36">F30/D30*100</f>
        <v>23.84982669807977</v>
      </c>
      <c r="J30" s="2"/>
      <c r="L30" s="37"/>
    </row>
    <row r="31" spans="1:12" ht="24" customHeight="1">
      <c r="A31" s="17" t="s">
        <v>362</v>
      </c>
      <c r="B31" s="48" t="s">
        <v>375</v>
      </c>
      <c r="C31" s="18" t="s">
        <v>396</v>
      </c>
      <c r="D31" s="1">
        <v>630.073</v>
      </c>
      <c r="E31" s="1">
        <v>171.2</v>
      </c>
      <c r="F31" s="4">
        <v>140.97412</v>
      </c>
      <c r="G31" s="5">
        <f aca="true" t="shared" si="4" ref="G31:G37">F31-L30</f>
        <v>140.97412</v>
      </c>
      <c r="H31" s="4">
        <f t="shared" si="0"/>
        <v>-489.09888</v>
      </c>
      <c r="I31" s="1">
        <f t="shared" si="3"/>
        <v>22.374251872402088</v>
      </c>
      <c r="J31" s="2"/>
      <c r="L31" s="37"/>
    </row>
    <row r="32" spans="1:12" ht="15.75">
      <c r="A32" s="17" t="s">
        <v>362</v>
      </c>
      <c r="B32" s="48" t="s">
        <v>376</v>
      </c>
      <c r="C32" s="18" t="s">
        <v>397</v>
      </c>
      <c r="D32" s="1">
        <v>1105.39375</v>
      </c>
      <c r="E32" s="1">
        <v>275.5</v>
      </c>
      <c r="F32" s="4">
        <v>255.34256</v>
      </c>
      <c r="G32" s="5">
        <f t="shared" si="4"/>
        <v>255.34256</v>
      </c>
      <c r="H32" s="4">
        <f t="shared" si="0"/>
        <v>-850.0511899999999</v>
      </c>
      <c r="I32" s="1">
        <f t="shared" si="3"/>
        <v>23.099692756540374</v>
      </c>
      <c r="J32" s="2"/>
      <c r="L32" s="37"/>
    </row>
    <row r="33" spans="1:12" ht="33" customHeight="1">
      <c r="A33" s="17" t="s">
        <v>362</v>
      </c>
      <c r="B33" s="48" t="s">
        <v>377</v>
      </c>
      <c r="C33" s="18" t="s">
        <v>398</v>
      </c>
      <c r="D33" s="1">
        <v>821.36071</v>
      </c>
      <c r="E33" s="1">
        <v>185</v>
      </c>
      <c r="F33" s="4">
        <v>227.68187</v>
      </c>
      <c r="G33" s="5">
        <f t="shared" si="4"/>
        <v>227.68187</v>
      </c>
      <c r="H33" s="4">
        <f t="shared" si="0"/>
        <v>-593.67884</v>
      </c>
      <c r="I33" s="1">
        <f t="shared" si="3"/>
        <v>27.720082934086292</v>
      </c>
      <c r="J33" s="2"/>
      <c r="L33" s="37"/>
    </row>
    <row r="34" spans="1:12" ht="18.75" customHeight="1">
      <c r="A34" s="17" t="s">
        <v>362</v>
      </c>
      <c r="B34" s="48" t="s">
        <v>372</v>
      </c>
      <c r="C34" s="18" t="s">
        <v>399</v>
      </c>
      <c r="D34" s="1">
        <v>1046.053</v>
      </c>
      <c r="E34" s="1">
        <v>439.2</v>
      </c>
      <c r="F34" s="4">
        <v>245.3192</v>
      </c>
      <c r="G34" s="5">
        <f t="shared" si="4"/>
        <v>245.3192</v>
      </c>
      <c r="H34" s="4">
        <f t="shared" si="0"/>
        <v>-800.7338000000001</v>
      </c>
      <c r="I34" s="1">
        <f t="shared" si="3"/>
        <v>23.45189010499468</v>
      </c>
      <c r="J34" s="2"/>
      <c r="L34" s="37"/>
    </row>
    <row r="35" spans="1:12" ht="35.25" customHeight="1">
      <c r="A35" s="17" t="s">
        <v>362</v>
      </c>
      <c r="B35" s="48" t="s">
        <v>434</v>
      </c>
      <c r="C35" s="18" t="s">
        <v>128</v>
      </c>
      <c r="D35" s="1">
        <v>100</v>
      </c>
      <c r="E35" s="1">
        <v>76</v>
      </c>
      <c r="F35" s="4">
        <v>15.53955</v>
      </c>
      <c r="G35" s="5">
        <f t="shared" si="4"/>
        <v>15.53955</v>
      </c>
      <c r="H35" s="4">
        <f t="shared" si="0"/>
        <v>-84.46045</v>
      </c>
      <c r="I35" s="1">
        <f t="shared" si="3"/>
        <v>15.539549999999998</v>
      </c>
      <c r="J35" s="2"/>
      <c r="L35" s="37"/>
    </row>
    <row r="36" spans="1:12" ht="30" customHeight="1">
      <c r="A36" s="19" t="s">
        <v>362</v>
      </c>
      <c r="B36" s="49" t="s">
        <v>422</v>
      </c>
      <c r="C36" s="7" t="s">
        <v>423</v>
      </c>
      <c r="D36" s="1">
        <v>7.24</v>
      </c>
      <c r="E36" s="1">
        <v>4</v>
      </c>
      <c r="F36" s="4">
        <v>0</v>
      </c>
      <c r="G36" s="5">
        <f t="shared" si="4"/>
        <v>0</v>
      </c>
      <c r="H36" s="4">
        <f t="shared" si="0"/>
        <v>-7.24</v>
      </c>
      <c r="I36" s="1">
        <f t="shared" si="3"/>
        <v>0</v>
      </c>
      <c r="J36" s="2"/>
      <c r="L36" s="37"/>
    </row>
    <row r="37" spans="1:12" ht="1.5" customHeight="1" hidden="1">
      <c r="A37" s="19" t="s">
        <v>362</v>
      </c>
      <c r="B37" s="49" t="s">
        <v>430</v>
      </c>
      <c r="C37" s="18" t="s">
        <v>460</v>
      </c>
      <c r="D37" s="1"/>
      <c r="E37" s="1">
        <v>402.9</v>
      </c>
      <c r="F37" s="4"/>
      <c r="G37" s="5">
        <f t="shared" si="4"/>
        <v>0</v>
      </c>
      <c r="H37" s="4"/>
      <c r="I37" s="1"/>
      <c r="J37" s="2"/>
      <c r="K37" s="2"/>
      <c r="L37" s="2"/>
    </row>
    <row r="38" spans="1:12" ht="15.75" hidden="1">
      <c r="A38" s="17" t="s">
        <v>400</v>
      </c>
      <c r="B38" s="48" t="s">
        <v>299</v>
      </c>
      <c r="C38" s="18" t="s">
        <v>401</v>
      </c>
      <c r="D38" s="1">
        <f>SUM(D39:D39)</f>
        <v>0</v>
      </c>
      <c r="E38" s="1">
        <f>SUM(E39:E39)</f>
        <v>0</v>
      </c>
      <c r="F38" s="1">
        <f>SUM(F39:F39)</f>
        <v>0</v>
      </c>
      <c r="G38" s="6">
        <f>SUM(G39:G39)</f>
        <v>0</v>
      </c>
      <c r="H38" s="4">
        <f aca="true" t="shared" si="5" ref="H38:H69">F38-D38</f>
        <v>0</v>
      </c>
      <c r="I38" s="1" t="e">
        <f aca="true" t="shared" si="6" ref="I38:I69">F38/D38*100</f>
        <v>#DIV/0!</v>
      </c>
      <c r="J38" s="2"/>
      <c r="L38" s="37"/>
    </row>
    <row r="39" spans="1:12" ht="47.25" hidden="1">
      <c r="A39" s="17" t="s">
        <v>345</v>
      </c>
      <c r="B39" s="48" t="s">
        <v>346</v>
      </c>
      <c r="C39" s="7" t="s">
        <v>426</v>
      </c>
      <c r="D39" s="1"/>
      <c r="E39" s="1"/>
      <c r="F39" s="4"/>
      <c r="G39" s="5">
        <f>F39-L38</f>
        <v>0</v>
      </c>
      <c r="H39" s="4">
        <f t="shared" si="5"/>
        <v>0</v>
      </c>
      <c r="I39" s="1" t="e">
        <f t="shared" si="6"/>
        <v>#DIV/0!</v>
      </c>
      <c r="J39" s="2"/>
      <c r="L39" s="2"/>
    </row>
    <row r="40" spans="1:12" ht="33.75" customHeight="1">
      <c r="A40" s="17" t="s">
        <v>402</v>
      </c>
      <c r="B40" s="64" t="s">
        <v>300</v>
      </c>
      <c r="C40" s="55" t="s">
        <v>101</v>
      </c>
      <c r="D40" s="6">
        <f>D41+D54+D92+D94+D105+D111+D62+D93</f>
        <v>36783.910639999995</v>
      </c>
      <c r="E40" s="6">
        <f>E41+E54+E92+E94+E105+E111+E62+E93</f>
        <v>5469.299999999999</v>
      </c>
      <c r="F40" s="6">
        <f>F41+F54+F62+F92+F93+F94+F105+F111</f>
        <v>8018.2431000000015</v>
      </c>
      <c r="G40" s="6" t="e">
        <f>G41+G54+G63+G64+#REF!+G85+G88+G91+G92+G94+G105+G112</f>
        <v>#REF!</v>
      </c>
      <c r="H40" s="5">
        <f t="shared" si="5"/>
        <v>-28765.667539999995</v>
      </c>
      <c r="I40" s="6">
        <f t="shared" si="6"/>
        <v>21.798234501148197</v>
      </c>
      <c r="J40" s="2"/>
      <c r="L40" s="2"/>
    </row>
    <row r="41" spans="1:12" ht="31.5" customHeight="1">
      <c r="A41" s="17"/>
      <c r="B41" s="79" t="s">
        <v>440</v>
      </c>
      <c r="C41" s="74" t="s">
        <v>102</v>
      </c>
      <c r="D41" s="6">
        <v>3645.6</v>
      </c>
      <c r="E41" s="6">
        <f>SUM(E42:E53)</f>
        <v>1141.1</v>
      </c>
      <c r="F41" s="6">
        <v>532.14192</v>
      </c>
      <c r="G41" s="6">
        <f>SUM(G42:G52)</f>
        <v>499.03451999999993</v>
      </c>
      <c r="H41" s="5">
        <f t="shared" si="5"/>
        <v>-3113.45808</v>
      </c>
      <c r="I41" s="6">
        <f t="shared" si="6"/>
        <v>14.596826859776169</v>
      </c>
      <c r="J41" s="2"/>
      <c r="L41" s="37"/>
    </row>
    <row r="42" spans="1:12" ht="189" customHeight="1">
      <c r="A42" s="17" t="s">
        <v>301</v>
      </c>
      <c r="B42" s="64" t="s">
        <v>302</v>
      </c>
      <c r="C42" s="83" t="s">
        <v>132</v>
      </c>
      <c r="D42" s="6">
        <v>1600</v>
      </c>
      <c r="E42" s="6">
        <v>482.5</v>
      </c>
      <c r="F42" s="5">
        <v>204.93722</v>
      </c>
      <c r="G42" s="5">
        <f aca="true" t="shared" si="7" ref="G42:G52">F42-L41</f>
        <v>204.93722</v>
      </c>
      <c r="H42" s="5">
        <f t="shared" si="5"/>
        <v>-1395.06278</v>
      </c>
      <c r="I42" s="6">
        <f t="shared" si="6"/>
        <v>12.80857625</v>
      </c>
      <c r="J42" s="2"/>
      <c r="L42" s="37"/>
    </row>
    <row r="43" spans="1:12" ht="158.25" customHeight="1">
      <c r="A43" s="17" t="s">
        <v>301</v>
      </c>
      <c r="B43" s="64" t="s">
        <v>348</v>
      </c>
      <c r="C43" s="82" t="s">
        <v>133</v>
      </c>
      <c r="D43" s="6">
        <v>2</v>
      </c>
      <c r="E43" s="6">
        <v>10.7</v>
      </c>
      <c r="F43" s="5">
        <v>0</v>
      </c>
      <c r="G43" s="5">
        <f t="shared" si="7"/>
        <v>0</v>
      </c>
      <c r="H43" s="5">
        <f t="shared" si="5"/>
        <v>-2</v>
      </c>
      <c r="I43" s="6">
        <f t="shared" si="6"/>
        <v>0</v>
      </c>
      <c r="J43" s="2"/>
      <c r="L43" s="37"/>
    </row>
    <row r="44" spans="1:12" ht="174.75" customHeight="1">
      <c r="A44" s="17" t="s">
        <v>301</v>
      </c>
      <c r="B44" s="64" t="s">
        <v>349</v>
      </c>
      <c r="C44" s="82" t="s">
        <v>137</v>
      </c>
      <c r="D44" s="6">
        <v>16</v>
      </c>
      <c r="E44" s="6">
        <v>105.6</v>
      </c>
      <c r="F44" s="5">
        <v>1.028</v>
      </c>
      <c r="G44" s="5">
        <f t="shared" si="7"/>
        <v>1.028</v>
      </c>
      <c r="H44" s="5">
        <f t="shared" si="5"/>
        <v>-14.972</v>
      </c>
      <c r="I44" s="6">
        <f t="shared" si="6"/>
        <v>6.425</v>
      </c>
      <c r="J44" s="2"/>
      <c r="L44" s="37"/>
    </row>
    <row r="45" spans="1:12" ht="321" customHeight="1">
      <c r="A45" s="17" t="s">
        <v>301</v>
      </c>
      <c r="B45" s="64" t="s">
        <v>350</v>
      </c>
      <c r="C45" s="84" t="s">
        <v>141</v>
      </c>
      <c r="D45" s="6">
        <v>396.8</v>
      </c>
      <c r="E45" s="6">
        <v>108.4</v>
      </c>
      <c r="F45" s="5">
        <v>60.74906</v>
      </c>
      <c r="G45" s="5">
        <f t="shared" si="7"/>
        <v>60.74906</v>
      </c>
      <c r="H45" s="5">
        <f t="shared" si="5"/>
        <v>-336.05094</v>
      </c>
      <c r="I45" s="6">
        <f t="shared" si="6"/>
        <v>15.309742943548388</v>
      </c>
      <c r="J45" s="2"/>
      <c r="L45" s="37"/>
    </row>
    <row r="46" spans="1:12" ht="67.5" customHeight="1" hidden="1">
      <c r="A46" s="17" t="s">
        <v>301</v>
      </c>
      <c r="B46" s="64" t="s">
        <v>429</v>
      </c>
      <c r="C46" s="81" t="s">
        <v>11</v>
      </c>
      <c r="D46" s="6">
        <v>0</v>
      </c>
      <c r="E46" s="6">
        <v>0.2</v>
      </c>
      <c r="F46" s="5">
        <v>0</v>
      </c>
      <c r="G46" s="5">
        <f t="shared" si="7"/>
        <v>0</v>
      </c>
      <c r="H46" s="5">
        <f t="shared" si="5"/>
        <v>0</v>
      </c>
      <c r="I46" s="6" t="e">
        <f t="shared" si="6"/>
        <v>#DIV/0!</v>
      </c>
      <c r="J46" s="2"/>
      <c r="L46" s="37"/>
    </row>
    <row r="47" spans="1:12" ht="0.75" customHeight="1" hidden="1">
      <c r="A47" s="17" t="s">
        <v>301</v>
      </c>
      <c r="B47" s="64" t="s">
        <v>387</v>
      </c>
      <c r="C47" s="63" t="s">
        <v>6</v>
      </c>
      <c r="D47" s="6"/>
      <c r="E47" s="6">
        <v>5</v>
      </c>
      <c r="F47" s="5"/>
      <c r="G47" s="5">
        <f t="shared" si="7"/>
        <v>0</v>
      </c>
      <c r="H47" s="5">
        <f t="shared" si="5"/>
        <v>0</v>
      </c>
      <c r="I47" s="6" t="e">
        <f t="shared" si="6"/>
        <v>#DIV/0!</v>
      </c>
      <c r="J47" s="2"/>
      <c r="L47" s="37"/>
    </row>
    <row r="48" spans="1:12" ht="63" customHeight="1">
      <c r="A48" s="17" t="s">
        <v>326</v>
      </c>
      <c r="B48" s="64" t="s">
        <v>368</v>
      </c>
      <c r="C48" s="83" t="s">
        <v>142</v>
      </c>
      <c r="D48" s="6">
        <v>1000</v>
      </c>
      <c r="E48" s="6">
        <v>286.4</v>
      </c>
      <c r="F48" s="5">
        <v>149.28813</v>
      </c>
      <c r="G48" s="5">
        <f t="shared" si="7"/>
        <v>149.28813</v>
      </c>
      <c r="H48" s="5">
        <f t="shared" si="5"/>
        <v>-850.71187</v>
      </c>
      <c r="I48" s="6">
        <f t="shared" si="6"/>
        <v>14.928813</v>
      </c>
      <c r="J48" s="2"/>
      <c r="L48" s="37"/>
    </row>
    <row r="49" spans="1:12" ht="78.75" customHeight="1">
      <c r="A49" s="17" t="s">
        <v>326</v>
      </c>
      <c r="B49" s="64" t="s">
        <v>433</v>
      </c>
      <c r="C49" s="82" t="s">
        <v>143</v>
      </c>
      <c r="D49" s="6">
        <v>0.5</v>
      </c>
      <c r="E49" s="6">
        <v>0.3</v>
      </c>
      <c r="F49" s="5">
        <v>0</v>
      </c>
      <c r="G49" s="5">
        <f t="shared" si="7"/>
        <v>0</v>
      </c>
      <c r="H49" s="5">
        <f t="shared" si="5"/>
        <v>-0.5</v>
      </c>
      <c r="I49" s="6">
        <f t="shared" si="6"/>
        <v>0</v>
      </c>
      <c r="J49" s="2"/>
      <c r="L49" s="37"/>
    </row>
    <row r="50" spans="1:12" ht="60" customHeight="1">
      <c r="A50" s="17" t="s">
        <v>326</v>
      </c>
      <c r="B50" s="64" t="s">
        <v>369</v>
      </c>
      <c r="C50" s="82" t="s">
        <v>144</v>
      </c>
      <c r="D50" s="6">
        <v>30</v>
      </c>
      <c r="E50" s="6">
        <v>56.5</v>
      </c>
      <c r="F50" s="5">
        <v>5.85522</v>
      </c>
      <c r="G50" s="5">
        <f t="shared" si="7"/>
        <v>5.85522</v>
      </c>
      <c r="H50" s="5">
        <f t="shared" si="5"/>
        <v>-24.14478</v>
      </c>
      <c r="I50" s="6">
        <f t="shared" si="6"/>
        <v>19.517400000000002</v>
      </c>
      <c r="J50" s="2"/>
      <c r="L50" s="37"/>
    </row>
    <row r="51" spans="1:12" ht="48.75" customHeight="1">
      <c r="A51" s="17" t="s">
        <v>326</v>
      </c>
      <c r="B51" s="64" t="s">
        <v>439</v>
      </c>
      <c r="C51" s="82" t="s">
        <v>145</v>
      </c>
      <c r="D51" s="6">
        <v>165.3</v>
      </c>
      <c r="E51" s="6">
        <v>50.6</v>
      </c>
      <c r="F51" s="5">
        <v>40.69317</v>
      </c>
      <c r="G51" s="5">
        <f t="shared" si="7"/>
        <v>40.69317</v>
      </c>
      <c r="H51" s="5">
        <f t="shared" si="5"/>
        <v>-124.60683</v>
      </c>
      <c r="I51" s="6">
        <f t="shared" si="6"/>
        <v>24.61776769509982</v>
      </c>
      <c r="J51" s="2"/>
      <c r="L51" s="37"/>
    </row>
    <row r="52" spans="1:12" ht="31.5">
      <c r="A52" s="17" t="s">
        <v>326</v>
      </c>
      <c r="B52" s="64" t="s">
        <v>459</v>
      </c>
      <c r="C52" s="82" t="s">
        <v>146</v>
      </c>
      <c r="D52" s="6">
        <v>215</v>
      </c>
      <c r="E52" s="6">
        <v>34.9</v>
      </c>
      <c r="F52" s="5">
        <v>36.48372</v>
      </c>
      <c r="G52" s="5">
        <f t="shared" si="7"/>
        <v>36.48372</v>
      </c>
      <c r="H52" s="5">
        <f t="shared" si="5"/>
        <v>-178.51628</v>
      </c>
      <c r="I52" s="6">
        <f t="shared" si="6"/>
        <v>16.969172093023253</v>
      </c>
      <c r="J52" s="2"/>
      <c r="K52" s="2"/>
      <c r="L52" s="2"/>
    </row>
    <row r="53" spans="1:12" ht="18.75" customHeight="1">
      <c r="A53" s="17" t="s">
        <v>326</v>
      </c>
      <c r="B53" s="64" t="s">
        <v>14</v>
      </c>
      <c r="C53" s="83" t="s">
        <v>147</v>
      </c>
      <c r="D53" s="6">
        <v>220</v>
      </c>
      <c r="E53" s="6"/>
      <c r="F53" s="5">
        <v>33.1074</v>
      </c>
      <c r="G53" s="5"/>
      <c r="H53" s="5">
        <f t="shared" si="5"/>
        <v>-186.89260000000002</v>
      </c>
      <c r="I53" s="6">
        <f t="shared" si="6"/>
        <v>15.04881818181818</v>
      </c>
      <c r="J53" s="2"/>
      <c r="K53" s="2"/>
      <c r="L53" s="2"/>
    </row>
    <row r="54" spans="1:12" ht="31.5">
      <c r="A54" s="17"/>
      <c r="B54" s="79" t="s">
        <v>441</v>
      </c>
      <c r="C54" s="63" t="s">
        <v>103</v>
      </c>
      <c r="D54" s="6">
        <f>SUM(D55:D61)</f>
        <v>24866.9</v>
      </c>
      <c r="E54" s="6">
        <f>SUM(E55:E61)</f>
        <v>1842.6999999999998</v>
      </c>
      <c r="F54" s="6">
        <f>SUM(F55:F61)</f>
        <v>5684.2391800000005</v>
      </c>
      <c r="G54" s="6">
        <f>SUM(G55:G59)</f>
        <v>5540.14429</v>
      </c>
      <c r="H54" s="5">
        <f t="shared" si="5"/>
        <v>-19182.66082</v>
      </c>
      <c r="I54" s="6">
        <f t="shared" si="6"/>
        <v>22.858656205638823</v>
      </c>
      <c r="J54" s="2"/>
      <c r="L54" s="38"/>
    </row>
    <row r="55" spans="1:12" ht="19.5" customHeight="1">
      <c r="A55" s="17" t="s">
        <v>304</v>
      </c>
      <c r="B55" s="64" t="s">
        <v>351</v>
      </c>
      <c r="C55" s="55" t="s">
        <v>148</v>
      </c>
      <c r="D55" s="6">
        <v>300</v>
      </c>
      <c r="E55" s="6">
        <v>73.9</v>
      </c>
      <c r="F55" s="5">
        <v>75.35777</v>
      </c>
      <c r="G55" s="5">
        <f aca="true" t="shared" si="8" ref="G55:G60">F55-L54</f>
        <v>75.35777</v>
      </c>
      <c r="H55" s="5">
        <f t="shared" si="5"/>
        <v>-224.64222999999998</v>
      </c>
      <c r="I55" s="6">
        <f t="shared" si="6"/>
        <v>25.11925666666667</v>
      </c>
      <c r="J55" s="2"/>
      <c r="L55" s="37"/>
    </row>
    <row r="56" spans="1:12" ht="19.5" customHeight="1">
      <c r="A56" s="17" t="s">
        <v>304</v>
      </c>
      <c r="B56" s="64" t="s">
        <v>352</v>
      </c>
      <c r="C56" s="55" t="s">
        <v>149</v>
      </c>
      <c r="D56" s="6">
        <v>4320</v>
      </c>
      <c r="E56" s="6">
        <v>616.3</v>
      </c>
      <c r="F56" s="5">
        <v>990.59605</v>
      </c>
      <c r="G56" s="5">
        <f t="shared" si="8"/>
        <v>990.59605</v>
      </c>
      <c r="H56" s="5">
        <f t="shared" si="5"/>
        <v>-3329.40395</v>
      </c>
      <c r="I56" s="6">
        <f t="shared" si="6"/>
        <v>22.93046412037037</v>
      </c>
      <c r="J56" s="2"/>
      <c r="L56" s="37"/>
    </row>
    <row r="57" spans="1:12" ht="18.75" customHeight="1">
      <c r="A57" s="17" t="s">
        <v>304</v>
      </c>
      <c r="B57" s="64" t="s">
        <v>353</v>
      </c>
      <c r="C57" s="55" t="s">
        <v>150</v>
      </c>
      <c r="D57" s="6">
        <v>15485.2</v>
      </c>
      <c r="E57" s="6">
        <v>640.5</v>
      </c>
      <c r="F57" s="5">
        <v>3452.33827</v>
      </c>
      <c r="G57" s="5">
        <f t="shared" si="8"/>
        <v>3452.33827</v>
      </c>
      <c r="H57" s="5">
        <f t="shared" si="5"/>
        <v>-12032.86173</v>
      </c>
      <c r="I57" s="6">
        <f t="shared" si="6"/>
        <v>22.294437721178934</v>
      </c>
      <c r="J57" s="2"/>
      <c r="L57" s="37"/>
    </row>
    <row r="58" spans="1:12" ht="31.5">
      <c r="A58" s="17" t="s">
        <v>304</v>
      </c>
      <c r="B58" s="64" t="s">
        <v>354</v>
      </c>
      <c r="C58" s="55" t="s">
        <v>151</v>
      </c>
      <c r="D58" s="6">
        <v>1800</v>
      </c>
      <c r="E58" s="6">
        <v>137.2</v>
      </c>
      <c r="F58" s="5">
        <v>416.15647</v>
      </c>
      <c r="G58" s="5">
        <f t="shared" si="8"/>
        <v>416.15647</v>
      </c>
      <c r="H58" s="5">
        <f t="shared" si="5"/>
        <v>-1383.84353</v>
      </c>
      <c r="I58" s="6">
        <f t="shared" si="6"/>
        <v>23.11980388888889</v>
      </c>
      <c r="J58" s="2"/>
      <c r="L58" s="37"/>
    </row>
    <row r="59" spans="1:12" ht="18.75" customHeight="1">
      <c r="A59" s="17" t="s">
        <v>304</v>
      </c>
      <c r="B59" s="64" t="s">
        <v>355</v>
      </c>
      <c r="C59" s="55" t="s">
        <v>152</v>
      </c>
      <c r="D59" s="6">
        <v>2400</v>
      </c>
      <c r="E59" s="6">
        <v>336.9</v>
      </c>
      <c r="F59" s="5">
        <v>605.69573</v>
      </c>
      <c r="G59" s="5">
        <f t="shared" si="8"/>
        <v>605.69573</v>
      </c>
      <c r="H59" s="5">
        <f t="shared" si="5"/>
        <v>-1794.30427</v>
      </c>
      <c r="I59" s="6">
        <f t="shared" si="6"/>
        <v>25.237322083333336</v>
      </c>
      <c r="J59" s="2"/>
      <c r="L59" s="37"/>
    </row>
    <row r="60" spans="1:12" ht="20.25" customHeight="1">
      <c r="A60" s="17" t="s">
        <v>304</v>
      </c>
      <c r="B60" s="64" t="s">
        <v>436</v>
      </c>
      <c r="C60" s="55" t="s">
        <v>153</v>
      </c>
      <c r="D60" s="6">
        <v>530.9</v>
      </c>
      <c r="E60" s="6">
        <v>37.9</v>
      </c>
      <c r="F60" s="5">
        <v>129.41738</v>
      </c>
      <c r="G60" s="5">
        <f t="shared" si="8"/>
        <v>129.41738</v>
      </c>
      <c r="H60" s="5">
        <f t="shared" si="5"/>
        <v>-401.48262</v>
      </c>
      <c r="I60" s="6">
        <f t="shared" si="6"/>
        <v>24.376978715388965</v>
      </c>
      <c r="J60" s="2"/>
      <c r="L60" s="37"/>
    </row>
    <row r="61" spans="1:12" ht="17.25" customHeight="1">
      <c r="A61" s="17" t="s">
        <v>304</v>
      </c>
      <c r="B61" s="64" t="s">
        <v>13</v>
      </c>
      <c r="C61" s="55" t="s">
        <v>154</v>
      </c>
      <c r="D61" s="6">
        <v>30.8</v>
      </c>
      <c r="E61" s="6"/>
      <c r="F61" s="5">
        <v>14.67751</v>
      </c>
      <c r="G61" s="5"/>
      <c r="H61" s="5">
        <f t="shared" si="5"/>
        <v>-16.12249</v>
      </c>
      <c r="I61" s="6">
        <f t="shared" si="6"/>
        <v>47.65425324675325</v>
      </c>
      <c r="J61" s="2"/>
      <c r="L61" s="37"/>
    </row>
    <row r="62" spans="1:12" ht="18" customHeight="1">
      <c r="A62" s="17"/>
      <c r="B62" s="64" t="s">
        <v>461</v>
      </c>
      <c r="C62" s="63" t="s">
        <v>104</v>
      </c>
      <c r="D62" s="6">
        <f>D63+D64+D66+D85+D88+D91+D68+D89+D90+D67+D83+D65+D84+D86+D87</f>
        <v>2631.6094200000002</v>
      </c>
      <c r="E62" s="6">
        <f>E63+E64+E66+E85+E88+E91+E68+E89+E90+E67+E83+E65+E84+E86+E87</f>
        <v>949.1999999999999</v>
      </c>
      <c r="F62" s="6">
        <f>F63+F64+F66+F85+F88+F91+F68+F89+F90+F67+F83+F65+F84+F86+F87</f>
        <v>583.5700599999999</v>
      </c>
      <c r="G62" s="6">
        <f>G63+G64+G66+G85+G88+G91+G68+G89+G90+G67+G83</f>
        <v>553.73969</v>
      </c>
      <c r="H62" s="5">
        <f t="shared" si="5"/>
        <v>-2048.03936</v>
      </c>
      <c r="I62" s="6">
        <f t="shared" si="6"/>
        <v>22.175405497674493</v>
      </c>
      <c r="J62" s="2"/>
      <c r="L62" s="37"/>
    </row>
    <row r="63" spans="1:12" ht="30.75" customHeight="1">
      <c r="A63" s="17" t="s">
        <v>304</v>
      </c>
      <c r="B63" s="64" t="s">
        <v>305</v>
      </c>
      <c r="C63" s="55" t="s">
        <v>155</v>
      </c>
      <c r="D63" s="6">
        <v>768.7</v>
      </c>
      <c r="E63" s="6">
        <v>256.9</v>
      </c>
      <c r="F63" s="5">
        <v>276.82196</v>
      </c>
      <c r="G63" s="5">
        <f>F63-L62</f>
        <v>276.82196</v>
      </c>
      <c r="H63" s="5">
        <f t="shared" si="5"/>
        <v>-491.87804000000006</v>
      </c>
      <c r="I63" s="6">
        <f t="shared" si="6"/>
        <v>36.01170287498373</v>
      </c>
      <c r="J63" s="2"/>
      <c r="L63" s="37"/>
    </row>
    <row r="64" spans="1:12" ht="48" customHeight="1">
      <c r="A64" s="17" t="s">
        <v>303</v>
      </c>
      <c r="B64" s="64" t="s">
        <v>336</v>
      </c>
      <c r="C64" s="55" t="s">
        <v>156</v>
      </c>
      <c r="D64" s="6">
        <v>520</v>
      </c>
      <c r="E64" s="6">
        <v>28.4</v>
      </c>
      <c r="F64" s="5">
        <v>109.63884</v>
      </c>
      <c r="G64" s="5">
        <f>F64-L63</f>
        <v>109.63884</v>
      </c>
      <c r="H64" s="5">
        <f t="shared" si="5"/>
        <v>-410.36116</v>
      </c>
      <c r="I64" s="6">
        <f t="shared" si="6"/>
        <v>21.08439230769231</v>
      </c>
      <c r="J64" s="2"/>
      <c r="L64" s="2"/>
    </row>
    <row r="65" spans="1:12" ht="47.25">
      <c r="A65" s="17"/>
      <c r="B65" s="64" t="s">
        <v>41</v>
      </c>
      <c r="C65" s="55" t="s">
        <v>157</v>
      </c>
      <c r="D65" s="6">
        <v>0.6</v>
      </c>
      <c r="E65" s="6"/>
      <c r="F65" s="6">
        <v>0</v>
      </c>
      <c r="G65" s="5"/>
      <c r="H65" s="5">
        <f t="shared" si="5"/>
        <v>-0.6</v>
      </c>
      <c r="I65" s="6">
        <f t="shared" si="6"/>
        <v>0</v>
      </c>
      <c r="J65" s="2"/>
      <c r="L65" s="2"/>
    </row>
    <row r="66" spans="1:12" ht="34.5" customHeight="1">
      <c r="A66" s="17" t="s">
        <v>308</v>
      </c>
      <c r="B66" s="64" t="s">
        <v>309</v>
      </c>
      <c r="C66" s="74" t="s">
        <v>158</v>
      </c>
      <c r="D66" s="6">
        <v>984.13942</v>
      </c>
      <c r="E66" s="6">
        <v>605.1</v>
      </c>
      <c r="F66" s="6">
        <v>137.63299</v>
      </c>
      <c r="G66" s="5">
        <f>F66-L65</f>
        <v>137.63299</v>
      </c>
      <c r="H66" s="5">
        <f t="shared" si="5"/>
        <v>-846.5064299999999</v>
      </c>
      <c r="I66" s="6">
        <f t="shared" si="6"/>
        <v>13.985110971370299</v>
      </c>
      <c r="J66" s="2"/>
      <c r="L66" s="39"/>
    </row>
    <row r="67" spans="1:12" ht="31.5">
      <c r="A67" s="17" t="s">
        <v>308</v>
      </c>
      <c r="B67" s="64" t="s">
        <v>309</v>
      </c>
      <c r="C67" s="74" t="s">
        <v>159</v>
      </c>
      <c r="D67" s="6">
        <v>40.7</v>
      </c>
      <c r="E67" s="6"/>
      <c r="F67" s="6">
        <v>2.1975</v>
      </c>
      <c r="G67" s="5"/>
      <c r="H67" s="5">
        <f t="shared" si="5"/>
        <v>-38.502500000000005</v>
      </c>
      <c r="I67" s="6">
        <f t="shared" si="6"/>
        <v>5.399262899262899</v>
      </c>
      <c r="J67" s="2"/>
      <c r="L67" s="39"/>
    </row>
    <row r="68" spans="1:12" ht="33" customHeight="1">
      <c r="A68" s="17" t="s">
        <v>308</v>
      </c>
      <c r="B68" s="64" t="s">
        <v>309</v>
      </c>
      <c r="C68" s="74" t="s">
        <v>160</v>
      </c>
      <c r="D68" s="6">
        <v>90</v>
      </c>
      <c r="E68" s="6">
        <v>13</v>
      </c>
      <c r="F68" s="5">
        <v>14.97506</v>
      </c>
      <c r="G68" s="5">
        <f>F68-L66</f>
        <v>14.97506</v>
      </c>
      <c r="H68" s="5">
        <f t="shared" si="5"/>
        <v>-75.02494</v>
      </c>
      <c r="I68" s="6">
        <f t="shared" si="6"/>
        <v>16.638955555555555</v>
      </c>
      <c r="J68" s="2"/>
      <c r="L68" s="39"/>
    </row>
    <row r="69" spans="1:12" ht="30" customHeight="1" hidden="1">
      <c r="A69" s="17" t="s">
        <v>308</v>
      </c>
      <c r="B69" s="64" t="s">
        <v>309</v>
      </c>
      <c r="C69" s="74" t="s">
        <v>77</v>
      </c>
      <c r="D69" s="6"/>
      <c r="E69" s="6">
        <v>13</v>
      </c>
      <c r="F69" s="5"/>
      <c r="G69" s="5">
        <f aca="true" t="shared" si="9" ref="G69:G82">F69-L68</f>
        <v>0</v>
      </c>
      <c r="H69" s="5">
        <f t="shared" si="5"/>
        <v>0</v>
      </c>
      <c r="I69" s="6" t="e">
        <f t="shared" si="6"/>
        <v>#DIV/0!</v>
      </c>
      <c r="J69" s="2"/>
      <c r="L69" s="39"/>
    </row>
    <row r="70" spans="1:12" ht="30.75" customHeight="1" hidden="1">
      <c r="A70" s="17" t="s">
        <v>308</v>
      </c>
      <c r="B70" s="64" t="s">
        <v>309</v>
      </c>
      <c r="C70" s="74" t="s">
        <v>410</v>
      </c>
      <c r="D70" s="6"/>
      <c r="E70" s="6">
        <v>5</v>
      </c>
      <c r="F70" s="5"/>
      <c r="G70" s="5">
        <f t="shared" si="9"/>
        <v>0</v>
      </c>
      <c r="H70" s="5">
        <f aca="true" t="shared" si="10" ref="H70:H93">F70-D70</f>
        <v>0</v>
      </c>
      <c r="I70" s="6" t="e">
        <f aca="true" t="shared" si="11" ref="I70:I93">F70/D70*100</f>
        <v>#DIV/0!</v>
      </c>
      <c r="J70" s="2"/>
      <c r="L70" s="39"/>
    </row>
    <row r="71" spans="1:12" ht="31.5" customHeight="1" hidden="1">
      <c r="A71" s="17" t="s">
        <v>308</v>
      </c>
      <c r="B71" s="64" t="s">
        <v>309</v>
      </c>
      <c r="C71" s="74" t="s">
        <v>386</v>
      </c>
      <c r="D71" s="6"/>
      <c r="E71" s="6">
        <v>3</v>
      </c>
      <c r="F71" s="5"/>
      <c r="G71" s="5">
        <f t="shared" si="9"/>
        <v>0</v>
      </c>
      <c r="H71" s="5">
        <f t="shared" si="10"/>
        <v>0</v>
      </c>
      <c r="I71" s="6" t="e">
        <f t="shared" si="11"/>
        <v>#DIV/0!</v>
      </c>
      <c r="J71" s="2"/>
      <c r="L71" s="39"/>
    </row>
    <row r="72" spans="1:12" ht="33" customHeight="1" hidden="1">
      <c r="A72" s="17" t="s">
        <v>308</v>
      </c>
      <c r="B72" s="64" t="s">
        <v>309</v>
      </c>
      <c r="C72" s="74" t="s">
        <v>381</v>
      </c>
      <c r="D72" s="6"/>
      <c r="E72" s="6">
        <v>5</v>
      </c>
      <c r="F72" s="5"/>
      <c r="G72" s="5">
        <f t="shared" si="9"/>
        <v>0</v>
      </c>
      <c r="H72" s="5">
        <f t="shared" si="10"/>
        <v>0</v>
      </c>
      <c r="I72" s="6" t="e">
        <f t="shared" si="11"/>
        <v>#DIV/0!</v>
      </c>
      <c r="J72" s="2"/>
      <c r="L72" s="39"/>
    </row>
    <row r="73" spans="1:12" ht="29.25" customHeight="1" hidden="1">
      <c r="A73" s="17" t="s">
        <v>308</v>
      </c>
      <c r="B73" s="64" t="s">
        <v>309</v>
      </c>
      <c r="C73" s="74" t="s">
        <v>403</v>
      </c>
      <c r="D73" s="6"/>
      <c r="E73" s="6">
        <v>5</v>
      </c>
      <c r="F73" s="5"/>
      <c r="G73" s="5">
        <f t="shared" si="9"/>
        <v>0</v>
      </c>
      <c r="H73" s="5">
        <f t="shared" si="10"/>
        <v>0</v>
      </c>
      <c r="I73" s="6" t="e">
        <f t="shared" si="11"/>
        <v>#DIV/0!</v>
      </c>
      <c r="J73" s="2"/>
      <c r="L73" s="39"/>
    </row>
    <row r="74" spans="1:12" ht="31.5" customHeight="1" hidden="1">
      <c r="A74" s="17" t="s">
        <v>308</v>
      </c>
      <c r="B74" s="64" t="s">
        <v>309</v>
      </c>
      <c r="C74" s="74" t="s">
        <v>379</v>
      </c>
      <c r="D74" s="6"/>
      <c r="E74" s="6">
        <v>45</v>
      </c>
      <c r="F74" s="5"/>
      <c r="G74" s="5">
        <f t="shared" si="9"/>
        <v>0</v>
      </c>
      <c r="H74" s="5">
        <f t="shared" si="10"/>
        <v>0</v>
      </c>
      <c r="I74" s="6" t="e">
        <f t="shared" si="11"/>
        <v>#DIV/0!</v>
      </c>
      <c r="J74" s="2"/>
      <c r="L74" s="39"/>
    </row>
    <row r="75" spans="1:12" ht="30" customHeight="1" hidden="1">
      <c r="A75" s="17" t="s">
        <v>308</v>
      </c>
      <c r="B75" s="64" t="s">
        <v>309</v>
      </c>
      <c r="C75" s="74" t="s">
        <v>390</v>
      </c>
      <c r="D75" s="6"/>
      <c r="E75" s="6">
        <v>36</v>
      </c>
      <c r="F75" s="5"/>
      <c r="G75" s="5">
        <f t="shared" si="9"/>
        <v>0</v>
      </c>
      <c r="H75" s="5">
        <f t="shared" si="10"/>
        <v>0</v>
      </c>
      <c r="I75" s="6" t="e">
        <f t="shared" si="11"/>
        <v>#DIV/0!</v>
      </c>
      <c r="J75" s="2"/>
      <c r="L75" s="39"/>
    </row>
    <row r="76" spans="1:12" ht="33.75" customHeight="1" hidden="1">
      <c r="A76" s="17" t="s">
        <v>308</v>
      </c>
      <c r="B76" s="64" t="s">
        <v>309</v>
      </c>
      <c r="C76" s="74" t="s">
        <v>380</v>
      </c>
      <c r="D76" s="6"/>
      <c r="E76" s="6">
        <v>4.5</v>
      </c>
      <c r="F76" s="5"/>
      <c r="G76" s="5">
        <f t="shared" si="9"/>
        <v>0</v>
      </c>
      <c r="H76" s="5">
        <f t="shared" si="10"/>
        <v>0</v>
      </c>
      <c r="I76" s="6" t="e">
        <f t="shared" si="11"/>
        <v>#DIV/0!</v>
      </c>
      <c r="J76" s="2"/>
      <c r="L76" s="39"/>
    </row>
    <row r="77" spans="1:12" ht="33" customHeight="1" hidden="1">
      <c r="A77" s="17" t="s">
        <v>308</v>
      </c>
      <c r="B77" s="64" t="s">
        <v>309</v>
      </c>
      <c r="C77" s="63" t="s">
        <v>411</v>
      </c>
      <c r="D77" s="6"/>
      <c r="E77" s="6">
        <v>6</v>
      </c>
      <c r="F77" s="5"/>
      <c r="G77" s="5">
        <f t="shared" si="9"/>
        <v>0</v>
      </c>
      <c r="H77" s="5">
        <f t="shared" si="10"/>
        <v>0</v>
      </c>
      <c r="I77" s="6" t="e">
        <f t="shared" si="11"/>
        <v>#DIV/0!</v>
      </c>
      <c r="J77" s="2"/>
      <c r="L77" s="39"/>
    </row>
    <row r="78" spans="1:12" ht="33.75" customHeight="1" hidden="1">
      <c r="A78" s="17" t="s">
        <v>308</v>
      </c>
      <c r="B78" s="64" t="s">
        <v>309</v>
      </c>
      <c r="C78" s="74" t="s">
        <v>378</v>
      </c>
      <c r="D78" s="6"/>
      <c r="E78" s="6">
        <v>15</v>
      </c>
      <c r="F78" s="5"/>
      <c r="G78" s="5">
        <f t="shared" si="9"/>
        <v>0</v>
      </c>
      <c r="H78" s="5">
        <f t="shared" si="10"/>
        <v>0</v>
      </c>
      <c r="I78" s="6" t="e">
        <f t="shared" si="11"/>
        <v>#DIV/0!</v>
      </c>
      <c r="J78" s="2"/>
      <c r="L78" s="39"/>
    </row>
    <row r="79" spans="1:12" ht="36.75" customHeight="1" hidden="1">
      <c r="A79" s="17" t="s">
        <v>308</v>
      </c>
      <c r="B79" s="64" t="s">
        <v>309</v>
      </c>
      <c r="C79" s="74" t="s">
        <v>408</v>
      </c>
      <c r="D79" s="6"/>
      <c r="E79" s="6">
        <v>70</v>
      </c>
      <c r="F79" s="5"/>
      <c r="G79" s="5">
        <f t="shared" si="9"/>
        <v>0</v>
      </c>
      <c r="H79" s="5">
        <f t="shared" si="10"/>
        <v>0</v>
      </c>
      <c r="I79" s="6" t="e">
        <f t="shared" si="11"/>
        <v>#DIV/0!</v>
      </c>
      <c r="J79" s="2"/>
      <c r="L79" s="39"/>
    </row>
    <row r="80" spans="1:12" ht="39" customHeight="1" hidden="1">
      <c r="A80" s="17" t="s">
        <v>308</v>
      </c>
      <c r="B80" s="64" t="s">
        <v>309</v>
      </c>
      <c r="C80" s="74" t="s">
        <v>407</v>
      </c>
      <c r="D80" s="6"/>
      <c r="E80" s="6">
        <v>40</v>
      </c>
      <c r="F80" s="5"/>
      <c r="G80" s="5">
        <f t="shared" si="9"/>
        <v>0</v>
      </c>
      <c r="H80" s="5">
        <f t="shared" si="10"/>
        <v>0</v>
      </c>
      <c r="I80" s="6" t="e">
        <f t="shared" si="11"/>
        <v>#DIV/0!</v>
      </c>
      <c r="J80" s="2"/>
      <c r="L80" s="39"/>
    </row>
    <row r="81" spans="1:12" ht="42.75" customHeight="1" hidden="1">
      <c r="A81" s="17" t="s">
        <v>308</v>
      </c>
      <c r="B81" s="64" t="s">
        <v>309</v>
      </c>
      <c r="C81" s="74" t="s">
        <v>385</v>
      </c>
      <c r="D81" s="6"/>
      <c r="E81" s="6">
        <v>6</v>
      </c>
      <c r="F81" s="5"/>
      <c r="G81" s="5">
        <f t="shared" si="9"/>
        <v>0</v>
      </c>
      <c r="H81" s="5">
        <f t="shared" si="10"/>
        <v>0</v>
      </c>
      <c r="I81" s="6" t="e">
        <f t="shared" si="11"/>
        <v>#DIV/0!</v>
      </c>
      <c r="J81" s="2"/>
      <c r="L81" s="39"/>
    </row>
    <row r="82" spans="1:12" ht="44.25" customHeight="1" hidden="1">
      <c r="A82" s="17" t="s">
        <v>308</v>
      </c>
      <c r="B82" s="64" t="s">
        <v>309</v>
      </c>
      <c r="C82" s="63" t="s">
        <v>409</v>
      </c>
      <c r="D82" s="6"/>
      <c r="E82" s="6">
        <v>20</v>
      </c>
      <c r="F82" s="5"/>
      <c r="G82" s="5">
        <f t="shared" si="9"/>
        <v>0</v>
      </c>
      <c r="H82" s="5">
        <f t="shared" si="10"/>
        <v>0</v>
      </c>
      <c r="I82" s="6" t="e">
        <f t="shared" si="11"/>
        <v>#DIV/0!</v>
      </c>
      <c r="J82" s="2"/>
      <c r="L82" s="37"/>
    </row>
    <row r="83" spans="1:12" ht="47.25">
      <c r="A83" s="17"/>
      <c r="B83" s="64" t="s">
        <v>18</v>
      </c>
      <c r="C83" s="63" t="s">
        <v>161</v>
      </c>
      <c r="D83" s="6">
        <v>20</v>
      </c>
      <c r="E83" s="6"/>
      <c r="F83" s="5">
        <v>1.65487</v>
      </c>
      <c r="G83" s="5"/>
      <c r="H83" s="5">
        <f t="shared" si="10"/>
        <v>-18.34513</v>
      </c>
      <c r="I83" s="6">
        <f t="shared" si="11"/>
        <v>8.27435</v>
      </c>
      <c r="J83" s="2"/>
      <c r="L83" s="37"/>
    </row>
    <row r="84" spans="1:12" ht="47.25">
      <c r="A84" s="17"/>
      <c r="B84" s="64" t="s">
        <v>18</v>
      </c>
      <c r="C84" s="63" t="s">
        <v>162</v>
      </c>
      <c r="D84" s="6">
        <v>10</v>
      </c>
      <c r="E84" s="6"/>
      <c r="F84" s="5">
        <v>2</v>
      </c>
      <c r="G84" s="5"/>
      <c r="H84" s="5">
        <f t="shared" si="10"/>
        <v>-8</v>
      </c>
      <c r="I84" s="6">
        <f t="shared" si="11"/>
        <v>20</v>
      </c>
      <c r="J84" s="2"/>
      <c r="L84" s="37"/>
    </row>
    <row r="85" spans="1:12" ht="31.5" hidden="1">
      <c r="A85" s="17" t="s">
        <v>306</v>
      </c>
      <c r="B85" s="64" t="s">
        <v>307</v>
      </c>
      <c r="C85" s="74" t="s">
        <v>468</v>
      </c>
      <c r="D85" s="6">
        <v>0</v>
      </c>
      <c r="E85" s="6">
        <v>2.4</v>
      </c>
      <c r="F85" s="5">
        <v>0</v>
      </c>
      <c r="G85" s="5">
        <f>F85-L82</f>
        <v>0</v>
      </c>
      <c r="H85" s="5">
        <f t="shared" si="10"/>
        <v>0</v>
      </c>
      <c r="I85" s="6" t="e">
        <f t="shared" si="11"/>
        <v>#DIV/0!</v>
      </c>
      <c r="J85" s="2"/>
      <c r="L85" s="37"/>
    </row>
    <row r="86" spans="1:12" ht="47.25">
      <c r="A86" s="17"/>
      <c r="B86" s="64" t="s">
        <v>18</v>
      </c>
      <c r="C86" s="74" t="s">
        <v>163</v>
      </c>
      <c r="D86" s="6">
        <v>19</v>
      </c>
      <c r="E86" s="6"/>
      <c r="F86" s="5">
        <v>0</v>
      </c>
      <c r="G86" s="5"/>
      <c r="H86" s="5">
        <f t="shared" si="10"/>
        <v>-19</v>
      </c>
      <c r="I86" s="6">
        <f t="shared" si="11"/>
        <v>0</v>
      </c>
      <c r="J86" s="2"/>
      <c r="L86" s="37"/>
    </row>
    <row r="87" spans="1:12" ht="31.5">
      <c r="A87" s="17"/>
      <c r="B87" s="64" t="s">
        <v>85</v>
      </c>
      <c r="C87" s="74" t="s">
        <v>164</v>
      </c>
      <c r="D87" s="6">
        <v>49.6</v>
      </c>
      <c r="E87" s="6"/>
      <c r="F87" s="5">
        <v>16.058</v>
      </c>
      <c r="G87" s="5"/>
      <c r="H87" s="5">
        <f t="shared" si="10"/>
        <v>-33.542</v>
      </c>
      <c r="I87" s="6">
        <f t="shared" si="11"/>
        <v>32.375</v>
      </c>
      <c r="J87" s="2"/>
      <c r="L87" s="37"/>
    </row>
    <row r="88" spans="1:12" ht="31.5">
      <c r="A88" s="17" t="s">
        <v>308</v>
      </c>
      <c r="B88" s="64" t="s">
        <v>337</v>
      </c>
      <c r="C88" s="74" t="s">
        <v>26</v>
      </c>
      <c r="D88" s="6">
        <v>86.65</v>
      </c>
      <c r="E88" s="6">
        <v>38.3</v>
      </c>
      <c r="F88" s="5">
        <v>12.1</v>
      </c>
      <c r="G88" s="5">
        <f>F88-L85</f>
        <v>12.1</v>
      </c>
      <c r="H88" s="5">
        <f t="shared" si="10"/>
        <v>-74.55000000000001</v>
      </c>
      <c r="I88" s="6">
        <f t="shared" si="11"/>
        <v>13.964223889209462</v>
      </c>
      <c r="J88" s="2"/>
      <c r="L88" s="37"/>
    </row>
    <row r="89" spans="1:12" ht="63" hidden="1">
      <c r="A89" s="17"/>
      <c r="B89" s="64" t="s">
        <v>337</v>
      </c>
      <c r="C89" s="74" t="s">
        <v>8</v>
      </c>
      <c r="D89" s="6">
        <v>0</v>
      </c>
      <c r="E89" s="6"/>
      <c r="F89" s="5">
        <v>0</v>
      </c>
      <c r="G89" s="5"/>
      <c r="H89" s="5">
        <f t="shared" si="10"/>
        <v>0</v>
      </c>
      <c r="I89" s="6" t="e">
        <f t="shared" si="11"/>
        <v>#DIV/0!</v>
      </c>
      <c r="J89" s="2"/>
      <c r="L89" s="37"/>
    </row>
    <row r="90" spans="1:12" ht="31.5">
      <c r="A90" s="17" t="s">
        <v>308</v>
      </c>
      <c r="B90" s="64" t="s">
        <v>337</v>
      </c>
      <c r="C90" s="74" t="s">
        <v>165</v>
      </c>
      <c r="D90" s="6">
        <v>22.92</v>
      </c>
      <c r="E90" s="6"/>
      <c r="F90" s="5">
        <v>7.92</v>
      </c>
      <c r="G90" s="5"/>
      <c r="H90" s="5">
        <f t="shared" si="10"/>
        <v>-15.000000000000002</v>
      </c>
      <c r="I90" s="6">
        <f t="shared" si="11"/>
        <v>34.55497382198953</v>
      </c>
      <c r="J90" s="2"/>
      <c r="L90" s="37"/>
    </row>
    <row r="91" spans="1:12" ht="33.75" customHeight="1">
      <c r="A91" s="17" t="s">
        <v>308</v>
      </c>
      <c r="B91" s="72" t="s">
        <v>412</v>
      </c>
      <c r="C91" s="63" t="s">
        <v>166</v>
      </c>
      <c r="D91" s="6">
        <v>19.3</v>
      </c>
      <c r="E91" s="6">
        <v>5.1</v>
      </c>
      <c r="F91" s="5">
        <v>2.57084</v>
      </c>
      <c r="G91" s="5">
        <f>F91-L88</f>
        <v>2.57084</v>
      </c>
      <c r="H91" s="5">
        <f t="shared" si="10"/>
        <v>-16.72916</v>
      </c>
      <c r="I91" s="6">
        <f t="shared" si="11"/>
        <v>13.320414507772021</v>
      </c>
      <c r="J91" s="2"/>
      <c r="L91" s="37"/>
    </row>
    <row r="92" spans="1:12" ht="67.5" customHeight="1">
      <c r="A92" s="19" t="s">
        <v>304</v>
      </c>
      <c r="B92" s="72" t="s">
        <v>19</v>
      </c>
      <c r="C92" s="55" t="s">
        <v>31</v>
      </c>
      <c r="D92" s="6">
        <v>135.012</v>
      </c>
      <c r="E92" s="6">
        <v>301.4</v>
      </c>
      <c r="F92" s="5">
        <v>0</v>
      </c>
      <c r="G92" s="5">
        <f>F92-L91</f>
        <v>0</v>
      </c>
      <c r="H92" s="5">
        <f t="shared" si="10"/>
        <v>-135.012</v>
      </c>
      <c r="I92" s="6">
        <f t="shared" si="11"/>
        <v>0</v>
      </c>
      <c r="J92" s="2"/>
      <c r="L92" s="2"/>
    </row>
    <row r="93" spans="1:12" ht="68.25" customHeight="1" hidden="1">
      <c r="A93" s="19" t="s">
        <v>304</v>
      </c>
      <c r="B93" s="72" t="s">
        <v>19</v>
      </c>
      <c r="C93" s="55" t="s">
        <v>105</v>
      </c>
      <c r="D93" s="6"/>
      <c r="E93" s="6"/>
      <c r="F93" s="5"/>
      <c r="G93" s="5"/>
      <c r="H93" s="5">
        <f t="shared" si="10"/>
        <v>0</v>
      </c>
      <c r="I93" s="6" t="e">
        <f t="shared" si="11"/>
        <v>#DIV/0!</v>
      </c>
      <c r="J93" s="2"/>
      <c r="L93" s="2"/>
    </row>
    <row r="94" spans="1:12" ht="15.75">
      <c r="A94" s="17" t="s">
        <v>304</v>
      </c>
      <c r="B94" s="79" t="s">
        <v>442</v>
      </c>
      <c r="C94" s="74" t="s">
        <v>443</v>
      </c>
      <c r="D94" s="6">
        <f>SUM(D95:D104)</f>
        <v>641.905</v>
      </c>
      <c r="E94" s="6">
        <f>SUM(E95:E104)</f>
        <v>163.6</v>
      </c>
      <c r="F94" s="6">
        <f>SUM(F95:F104)</f>
        <v>135.97904</v>
      </c>
      <c r="G94" s="6">
        <f>SUM(G95:G104)</f>
        <v>74.31891</v>
      </c>
      <c r="H94" s="6">
        <f>SUM(H95:H104)</f>
        <v>-505.9259599999999</v>
      </c>
      <c r="I94" s="6">
        <f>F94/D94*100</f>
        <v>21.18367048083439</v>
      </c>
      <c r="J94" s="2"/>
      <c r="L94" s="37"/>
    </row>
    <row r="95" spans="1:12" ht="33" customHeight="1">
      <c r="A95" s="17" t="s">
        <v>304</v>
      </c>
      <c r="B95" s="48" t="s">
        <v>365</v>
      </c>
      <c r="C95" s="18" t="s">
        <v>32</v>
      </c>
      <c r="D95" s="1">
        <v>283.691</v>
      </c>
      <c r="E95" s="1">
        <v>124.6</v>
      </c>
      <c r="F95" s="4">
        <v>74.31891</v>
      </c>
      <c r="G95" s="5">
        <f>F95-L94</f>
        <v>74.31891</v>
      </c>
      <c r="H95" s="4">
        <f aca="true" t="shared" si="12" ref="H95:H128">F95-D95</f>
        <v>-209.37208999999996</v>
      </c>
      <c r="I95" s="1">
        <f aca="true" t="shared" si="13" ref="I95:I128">F95/D95*100</f>
        <v>26.197133500886533</v>
      </c>
      <c r="J95" s="2"/>
      <c r="L95" s="37"/>
    </row>
    <row r="96" spans="1:12" ht="47.25" hidden="1">
      <c r="A96" s="17" t="s">
        <v>304</v>
      </c>
      <c r="B96" s="48" t="s">
        <v>344</v>
      </c>
      <c r="C96" s="18" t="s">
        <v>12</v>
      </c>
      <c r="D96" s="1">
        <v>0</v>
      </c>
      <c r="E96" s="1">
        <v>22</v>
      </c>
      <c r="F96" s="4">
        <v>0</v>
      </c>
      <c r="G96" s="5">
        <f>F96-L95</f>
        <v>0</v>
      </c>
      <c r="H96" s="4">
        <f t="shared" si="12"/>
        <v>0</v>
      </c>
      <c r="I96" s="1" t="e">
        <f t="shared" si="13"/>
        <v>#DIV/0!</v>
      </c>
      <c r="J96" s="2"/>
      <c r="L96" s="37"/>
    </row>
    <row r="97" spans="1:12" ht="0.75" customHeight="1" hidden="1">
      <c r="A97" s="17" t="s">
        <v>304</v>
      </c>
      <c r="B97" s="48" t="s">
        <v>366</v>
      </c>
      <c r="C97" s="18" t="s">
        <v>12</v>
      </c>
      <c r="D97" s="1">
        <v>0</v>
      </c>
      <c r="E97" s="1">
        <v>17</v>
      </c>
      <c r="F97" s="4">
        <v>0</v>
      </c>
      <c r="G97" s="5">
        <f>F97-L96</f>
        <v>0</v>
      </c>
      <c r="H97" s="4">
        <f t="shared" si="12"/>
        <v>0</v>
      </c>
      <c r="I97" s="1" t="e">
        <f t="shared" si="13"/>
        <v>#DIV/0!</v>
      </c>
      <c r="J97" s="2"/>
      <c r="L97" s="2"/>
    </row>
    <row r="98" spans="1:12" ht="65.25" customHeight="1">
      <c r="A98" s="17"/>
      <c r="B98" s="48" t="s">
        <v>365</v>
      </c>
      <c r="C98" s="18" t="s">
        <v>167</v>
      </c>
      <c r="D98" s="1">
        <v>287.3</v>
      </c>
      <c r="E98" s="1"/>
      <c r="F98" s="4">
        <v>60.06413</v>
      </c>
      <c r="G98" s="5"/>
      <c r="H98" s="4">
        <f t="shared" si="12"/>
        <v>-227.23587</v>
      </c>
      <c r="I98" s="1">
        <f t="shared" si="13"/>
        <v>20.906414897319873</v>
      </c>
      <c r="J98" s="2"/>
      <c r="L98" s="2"/>
    </row>
    <row r="99" spans="1:12" ht="44.25" customHeight="1">
      <c r="A99" s="17"/>
      <c r="B99" s="48" t="s">
        <v>366</v>
      </c>
      <c r="C99" s="18" t="s">
        <v>168</v>
      </c>
      <c r="D99" s="1">
        <v>5.48</v>
      </c>
      <c r="E99" s="1"/>
      <c r="F99" s="4">
        <v>1.162</v>
      </c>
      <c r="G99" s="5"/>
      <c r="H99" s="4">
        <f t="shared" si="12"/>
        <v>-4.3180000000000005</v>
      </c>
      <c r="I99" s="1">
        <f t="shared" si="13"/>
        <v>21.204379562043794</v>
      </c>
      <c r="J99" s="2"/>
      <c r="L99" s="2"/>
    </row>
    <row r="100" spans="1:12" ht="49.5" customHeight="1">
      <c r="A100" s="17"/>
      <c r="B100" s="48" t="s">
        <v>366</v>
      </c>
      <c r="C100" s="18" t="s">
        <v>168</v>
      </c>
      <c r="D100" s="1">
        <v>26</v>
      </c>
      <c r="E100" s="1"/>
      <c r="F100" s="4">
        <v>0</v>
      </c>
      <c r="G100" s="5"/>
      <c r="H100" s="4">
        <f t="shared" si="12"/>
        <v>-26</v>
      </c>
      <c r="I100" s="1">
        <f t="shared" si="13"/>
        <v>0</v>
      </c>
      <c r="J100" s="2"/>
      <c r="L100" s="2"/>
    </row>
    <row r="101" spans="1:12" ht="48.75" customHeight="1">
      <c r="A101" s="17" t="s">
        <v>304</v>
      </c>
      <c r="B101" s="48" t="s">
        <v>366</v>
      </c>
      <c r="C101" s="7" t="s">
        <v>169</v>
      </c>
      <c r="D101" s="1">
        <v>35</v>
      </c>
      <c r="E101" s="1"/>
      <c r="F101" s="4">
        <v>0</v>
      </c>
      <c r="G101" s="5"/>
      <c r="H101" s="4">
        <f t="shared" si="12"/>
        <v>-35</v>
      </c>
      <c r="I101" s="1">
        <f t="shared" si="13"/>
        <v>0</v>
      </c>
      <c r="J101" s="2"/>
      <c r="L101" s="2"/>
    </row>
    <row r="102" spans="1:12" ht="64.5" customHeight="1">
      <c r="A102" s="17"/>
      <c r="B102" s="48" t="s">
        <v>78</v>
      </c>
      <c r="C102" s="7" t="s">
        <v>170</v>
      </c>
      <c r="D102" s="1">
        <v>2.434</v>
      </c>
      <c r="E102" s="1"/>
      <c r="F102" s="4">
        <v>0.434</v>
      </c>
      <c r="G102" s="5"/>
      <c r="H102" s="4">
        <f t="shared" si="12"/>
        <v>-2</v>
      </c>
      <c r="I102" s="1">
        <f t="shared" si="13"/>
        <v>17.83073130649137</v>
      </c>
      <c r="J102" s="2"/>
      <c r="L102" s="2"/>
    </row>
    <row r="103" spans="1:12" ht="64.5" customHeight="1">
      <c r="A103" s="17"/>
      <c r="B103" s="48" t="s">
        <v>78</v>
      </c>
      <c r="C103" s="7" t="s">
        <v>171</v>
      </c>
      <c r="D103" s="1">
        <v>2</v>
      </c>
      <c r="E103" s="1"/>
      <c r="F103" s="4">
        <v>0</v>
      </c>
      <c r="G103" s="5"/>
      <c r="H103" s="4">
        <f t="shared" si="12"/>
        <v>-2</v>
      </c>
      <c r="I103" s="1">
        <f t="shared" si="13"/>
        <v>0</v>
      </c>
      <c r="J103" s="2"/>
      <c r="L103" s="2"/>
    </row>
    <row r="104" spans="1:12" ht="50.25" customHeight="1" hidden="1">
      <c r="A104" s="17"/>
      <c r="B104" s="48" t="s">
        <v>25</v>
      </c>
      <c r="C104" s="18" t="s">
        <v>33</v>
      </c>
      <c r="D104" s="1"/>
      <c r="E104" s="1"/>
      <c r="F104" s="4"/>
      <c r="G104" s="5"/>
      <c r="H104" s="4"/>
      <c r="I104" s="1"/>
      <c r="J104" s="2"/>
      <c r="L104" s="2"/>
    </row>
    <row r="105" spans="1:12" ht="15.75">
      <c r="A105" s="17"/>
      <c r="B105" s="64" t="s">
        <v>310</v>
      </c>
      <c r="C105" s="74" t="s">
        <v>106</v>
      </c>
      <c r="D105" s="6">
        <f>SUM(D106:D110)</f>
        <v>1899.8842200000001</v>
      </c>
      <c r="E105" s="6">
        <f>SUM(E106:E110)</f>
        <v>661.9</v>
      </c>
      <c r="F105" s="6">
        <f>SUM(F106:F110)</f>
        <v>388.79967</v>
      </c>
      <c r="G105" s="6">
        <f>SUM(G106:G110)</f>
        <v>372.66837</v>
      </c>
      <c r="H105" s="5">
        <f t="shared" si="12"/>
        <v>-1511.08455</v>
      </c>
      <c r="I105" s="6">
        <f t="shared" si="13"/>
        <v>20.4643875614694</v>
      </c>
      <c r="J105" s="2"/>
      <c r="L105" s="2"/>
    </row>
    <row r="106" spans="1:12" ht="65.25" customHeight="1">
      <c r="A106" s="17" t="s">
        <v>311</v>
      </c>
      <c r="B106" s="48" t="s">
        <v>312</v>
      </c>
      <c r="C106" s="18" t="s">
        <v>34</v>
      </c>
      <c r="D106" s="1">
        <v>1625.51422</v>
      </c>
      <c r="E106" s="1">
        <v>392.3</v>
      </c>
      <c r="F106" s="1">
        <v>345.14689</v>
      </c>
      <c r="G106" s="5">
        <f>F106-L105</f>
        <v>345.14689</v>
      </c>
      <c r="H106" s="4">
        <f t="shared" si="12"/>
        <v>-1280.36733</v>
      </c>
      <c r="I106" s="1">
        <f t="shared" si="13"/>
        <v>21.23308955119445</v>
      </c>
      <c r="J106" s="2"/>
      <c r="L106" s="37"/>
    </row>
    <row r="107" spans="1:12" ht="79.5" customHeight="1">
      <c r="A107" s="17" t="s">
        <v>311</v>
      </c>
      <c r="B107" s="48" t="s">
        <v>20</v>
      </c>
      <c r="C107" s="7" t="s">
        <v>172</v>
      </c>
      <c r="D107" s="1">
        <v>140</v>
      </c>
      <c r="E107" s="1"/>
      <c r="F107" s="1">
        <v>16.1313</v>
      </c>
      <c r="G107" s="5"/>
      <c r="H107" s="4">
        <f t="shared" si="12"/>
        <v>-123.8687</v>
      </c>
      <c r="I107" s="1">
        <f t="shared" si="13"/>
        <v>11.522357142857143</v>
      </c>
      <c r="J107" s="2"/>
      <c r="L107" s="37"/>
    </row>
    <row r="108" spans="1:12" ht="48" customHeight="1">
      <c r="A108" s="17" t="s">
        <v>303</v>
      </c>
      <c r="B108" s="48" t="s">
        <v>313</v>
      </c>
      <c r="C108" s="7" t="s">
        <v>173</v>
      </c>
      <c r="D108" s="1">
        <v>34.14</v>
      </c>
      <c r="E108" s="1">
        <v>3.4</v>
      </c>
      <c r="F108" s="4">
        <v>5.63658</v>
      </c>
      <c r="G108" s="5">
        <f>F108-L106</f>
        <v>5.63658</v>
      </c>
      <c r="H108" s="4">
        <f t="shared" si="12"/>
        <v>-28.50342</v>
      </c>
      <c r="I108" s="1">
        <f t="shared" si="13"/>
        <v>16.510193321616875</v>
      </c>
      <c r="J108" s="2"/>
      <c r="L108" s="2"/>
    </row>
    <row r="109" spans="1:12" ht="79.5" customHeight="1">
      <c r="A109" s="17" t="s">
        <v>301</v>
      </c>
      <c r="B109" s="48" t="s">
        <v>314</v>
      </c>
      <c r="C109" s="3" t="s">
        <v>174</v>
      </c>
      <c r="D109" s="1">
        <v>100.23</v>
      </c>
      <c r="E109" s="1">
        <v>32.8</v>
      </c>
      <c r="F109" s="1">
        <v>21.8849</v>
      </c>
      <c r="G109" s="5">
        <f>F109-L108</f>
        <v>21.8849</v>
      </c>
      <c r="H109" s="4">
        <f t="shared" si="12"/>
        <v>-78.3451</v>
      </c>
      <c r="I109" s="1">
        <f t="shared" si="13"/>
        <v>21.834680235458443</v>
      </c>
      <c r="J109" s="2"/>
      <c r="L109" s="39"/>
    </row>
    <row r="110" spans="1:12" ht="31.5" hidden="1">
      <c r="A110" s="17" t="s">
        <v>308</v>
      </c>
      <c r="B110" s="48" t="s">
        <v>315</v>
      </c>
      <c r="C110" s="3" t="s">
        <v>469</v>
      </c>
      <c r="D110" s="1">
        <v>0</v>
      </c>
      <c r="E110" s="1">
        <v>233.4</v>
      </c>
      <c r="F110" s="5">
        <v>0</v>
      </c>
      <c r="G110" s="5">
        <f>F110-L109</f>
        <v>0</v>
      </c>
      <c r="H110" s="4">
        <f t="shared" si="12"/>
        <v>0</v>
      </c>
      <c r="I110" s="1" t="e">
        <f t="shared" si="13"/>
        <v>#DIV/0!</v>
      </c>
      <c r="J110" s="2"/>
      <c r="L110" s="39"/>
    </row>
    <row r="111" spans="1:12" ht="15.75">
      <c r="A111" s="17"/>
      <c r="B111" s="64" t="s">
        <v>316</v>
      </c>
      <c r="C111" s="74" t="s">
        <v>443</v>
      </c>
      <c r="D111" s="6">
        <f>D112+D113+D114</f>
        <v>2963</v>
      </c>
      <c r="E111" s="6">
        <f>E112+E113+E114</f>
        <v>409.4</v>
      </c>
      <c r="F111" s="6">
        <f>F112+F113+F114</f>
        <v>693.51323</v>
      </c>
      <c r="G111" s="85">
        <f>G112+G113+G114</f>
        <v>690.95739</v>
      </c>
      <c r="H111" s="5">
        <f t="shared" si="12"/>
        <v>-2269.48677</v>
      </c>
      <c r="I111" s="6">
        <f t="shared" si="13"/>
        <v>23.405778940263247</v>
      </c>
      <c r="J111" s="2"/>
      <c r="L111" s="37"/>
    </row>
    <row r="112" spans="1:12" ht="31.5">
      <c r="A112" s="17" t="s">
        <v>306</v>
      </c>
      <c r="B112" s="64" t="s">
        <v>316</v>
      </c>
      <c r="C112" s="74" t="s">
        <v>175</v>
      </c>
      <c r="D112" s="6">
        <v>2955.6</v>
      </c>
      <c r="E112" s="6">
        <v>409.4</v>
      </c>
      <c r="F112" s="5">
        <v>690.95739</v>
      </c>
      <c r="G112" s="5">
        <f>F112-L111</f>
        <v>690.95739</v>
      </c>
      <c r="H112" s="5">
        <f t="shared" si="12"/>
        <v>-2264.64261</v>
      </c>
      <c r="I112" s="6">
        <f t="shared" si="13"/>
        <v>23.377906008932197</v>
      </c>
      <c r="J112" s="2"/>
      <c r="L112" s="37"/>
    </row>
    <row r="113" spans="1:12" ht="47.25">
      <c r="A113" s="17"/>
      <c r="B113" s="64" t="s">
        <v>462</v>
      </c>
      <c r="C113" s="74" t="s">
        <v>176</v>
      </c>
      <c r="D113" s="6">
        <v>6.32</v>
      </c>
      <c r="E113" s="6"/>
      <c r="F113" s="5">
        <v>2.55584</v>
      </c>
      <c r="G113" s="5"/>
      <c r="H113" s="5">
        <f t="shared" si="12"/>
        <v>-3.7641600000000004</v>
      </c>
      <c r="I113" s="6">
        <f t="shared" si="13"/>
        <v>40.440506329113916</v>
      </c>
      <c r="J113" s="2"/>
      <c r="L113" s="37"/>
    </row>
    <row r="114" spans="1:12" ht="33" customHeight="1">
      <c r="A114" s="17"/>
      <c r="B114" s="64" t="s">
        <v>463</v>
      </c>
      <c r="C114" s="74" t="s">
        <v>177</v>
      </c>
      <c r="D114" s="6">
        <v>1.08</v>
      </c>
      <c r="E114" s="6"/>
      <c r="F114" s="5">
        <v>0</v>
      </c>
      <c r="G114" s="5"/>
      <c r="H114" s="5">
        <f t="shared" si="12"/>
        <v>-1.08</v>
      </c>
      <c r="I114" s="6">
        <f t="shared" si="13"/>
        <v>0</v>
      </c>
      <c r="J114" s="2" t="s">
        <v>373</v>
      </c>
      <c r="L114" s="2"/>
    </row>
    <row r="115" spans="1:12" ht="16.5" customHeight="1">
      <c r="A115" s="19" t="s">
        <v>413</v>
      </c>
      <c r="B115" s="72" t="s">
        <v>317</v>
      </c>
      <c r="C115" s="55" t="s">
        <v>107</v>
      </c>
      <c r="D115" s="6">
        <f>SUM(D116:D121)</f>
        <v>7516.6</v>
      </c>
      <c r="E115" s="6">
        <f>SUM(E116:E121)</f>
        <v>3220.6</v>
      </c>
      <c r="F115" s="6">
        <f>SUM(F116:F121)</f>
        <v>1125.10324</v>
      </c>
      <c r="G115" s="6">
        <f>SUM(G116:G121)</f>
        <v>1125.10324</v>
      </c>
      <c r="H115" s="5">
        <f t="shared" si="12"/>
        <v>-6391.49676</v>
      </c>
      <c r="I115" s="6">
        <f t="shared" si="13"/>
        <v>14.968246813718967</v>
      </c>
      <c r="J115" s="2" t="s">
        <v>374</v>
      </c>
      <c r="L115" s="37"/>
    </row>
    <row r="116" spans="1:12" ht="47.25">
      <c r="A116" s="17" t="s">
        <v>318</v>
      </c>
      <c r="B116" s="64" t="s">
        <v>17</v>
      </c>
      <c r="C116" s="55" t="s">
        <v>178</v>
      </c>
      <c r="D116" s="6">
        <v>258</v>
      </c>
      <c r="E116" s="6">
        <v>768.1</v>
      </c>
      <c r="F116" s="5">
        <v>0</v>
      </c>
      <c r="G116" s="5">
        <f>F116-L115</f>
        <v>0</v>
      </c>
      <c r="H116" s="5">
        <f t="shared" si="12"/>
        <v>-258</v>
      </c>
      <c r="I116" s="6">
        <f t="shared" si="13"/>
        <v>0</v>
      </c>
      <c r="J116" s="2"/>
      <c r="L116" s="37"/>
    </row>
    <row r="117" spans="1:12" ht="48" customHeight="1">
      <c r="A117" s="17" t="s">
        <v>318</v>
      </c>
      <c r="B117" s="64" t="s">
        <v>370</v>
      </c>
      <c r="C117" s="86" t="s">
        <v>219</v>
      </c>
      <c r="D117" s="6">
        <v>1000</v>
      </c>
      <c r="E117" s="6">
        <v>852.5</v>
      </c>
      <c r="F117" s="5">
        <v>0</v>
      </c>
      <c r="G117" s="5">
        <f>F117-L116</f>
        <v>0</v>
      </c>
      <c r="H117" s="5">
        <f t="shared" si="12"/>
        <v>-1000</v>
      </c>
      <c r="I117" s="6">
        <f t="shared" si="13"/>
        <v>0</v>
      </c>
      <c r="J117" s="2"/>
      <c r="L117" s="37"/>
    </row>
    <row r="118" spans="1:12" ht="34.5" customHeight="1">
      <c r="A118" s="17" t="s">
        <v>318</v>
      </c>
      <c r="B118" s="64" t="s">
        <v>40</v>
      </c>
      <c r="C118" s="86" t="s">
        <v>220</v>
      </c>
      <c r="D118" s="6">
        <v>200</v>
      </c>
      <c r="E118" s="6"/>
      <c r="F118" s="5">
        <v>0</v>
      </c>
      <c r="G118" s="5"/>
      <c r="H118" s="5">
        <f t="shared" si="12"/>
        <v>-200</v>
      </c>
      <c r="I118" s="6">
        <f t="shared" si="13"/>
        <v>0</v>
      </c>
      <c r="J118" s="2"/>
      <c r="L118" s="37"/>
    </row>
    <row r="119" spans="1:12" ht="48" customHeight="1">
      <c r="A119" s="17" t="s">
        <v>320</v>
      </c>
      <c r="B119" s="64" t="s">
        <v>15</v>
      </c>
      <c r="C119" s="86" t="s">
        <v>221</v>
      </c>
      <c r="D119" s="6">
        <v>98</v>
      </c>
      <c r="E119" s="6">
        <v>0</v>
      </c>
      <c r="F119" s="5">
        <v>0</v>
      </c>
      <c r="G119" s="5">
        <f>F119-L117</f>
        <v>0</v>
      </c>
      <c r="H119" s="5">
        <f t="shared" si="12"/>
        <v>-98</v>
      </c>
      <c r="I119" s="6">
        <f t="shared" si="13"/>
        <v>0</v>
      </c>
      <c r="J119" s="2"/>
      <c r="L119" s="37"/>
    </row>
    <row r="120" spans="1:12" ht="47.25" customHeight="1">
      <c r="A120" s="17"/>
      <c r="B120" s="64" t="s">
        <v>321</v>
      </c>
      <c r="C120" s="63" t="s">
        <v>222</v>
      </c>
      <c r="D120" s="6">
        <v>10</v>
      </c>
      <c r="E120" s="6"/>
      <c r="F120" s="5">
        <v>0</v>
      </c>
      <c r="G120" s="5"/>
      <c r="H120" s="5">
        <f t="shared" si="12"/>
        <v>-10</v>
      </c>
      <c r="I120" s="6">
        <f t="shared" si="13"/>
        <v>0</v>
      </c>
      <c r="J120" s="2"/>
      <c r="L120" s="37"/>
    </row>
    <row r="121" spans="1:12" ht="15.75">
      <c r="A121" s="17" t="s">
        <v>320</v>
      </c>
      <c r="B121" s="64" t="s">
        <v>321</v>
      </c>
      <c r="C121" s="63" t="s">
        <v>384</v>
      </c>
      <c r="D121" s="6">
        <v>5950.6</v>
      </c>
      <c r="E121" s="6">
        <v>1600</v>
      </c>
      <c r="F121" s="5">
        <v>1125.10324</v>
      </c>
      <c r="G121" s="5">
        <f>F121-L119</f>
        <v>1125.10324</v>
      </c>
      <c r="H121" s="5">
        <f t="shared" si="12"/>
        <v>-4825.49676</v>
      </c>
      <c r="I121" s="6">
        <f t="shared" si="13"/>
        <v>18.907391523543843</v>
      </c>
      <c r="J121" s="2"/>
      <c r="L121" s="2"/>
    </row>
    <row r="122" spans="1:12" ht="15.75">
      <c r="A122" s="19" t="s">
        <v>322</v>
      </c>
      <c r="B122" s="72" t="s">
        <v>335</v>
      </c>
      <c r="C122" s="55" t="s">
        <v>109</v>
      </c>
      <c r="D122" s="6">
        <f>SUM(D123:D128)</f>
        <v>3461.5376400000005</v>
      </c>
      <c r="E122" s="6">
        <f>SUM(E123:E128)</f>
        <v>970.5999999999999</v>
      </c>
      <c r="F122" s="6">
        <f>SUM(F123:F128)</f>
        <v>736.4038499999999</v>
      </c>
      <c r="G122" s="6" t="e">
        <f>SUM(G123:G128)</f>
        <v>#REF!</v>
      </c>
      <c r="H122" s="5">
        <f t="shared" si="12"/>
        <v>-2725.1337900000008</v>
      </c>
      <c r="I122" s="6">
        <f t="shared" si="13"/>
        <v>21.273894049004184</v>
      </c>
      <c r="J122" s="2"/>
      <c r="L122" s="37"/>
    </row>
    <row r="123" spans="1:12" ht="15.75">
      <c r="A123" s="17" t="s">
        <v>322</v>
      </c>
      <c r="B123" s="64" t="s">
        <v>444</v>
      </c>
      <c r="C123" s="74" t="s">
        <v>447</v>
      </c>
      <c r="D123" s="6">
        <v>432.13914</v>
      </c>
      <c r="E123" s="6">
        <v>123.4</v>
      </c>
      <c r="F123" s="5">
        <v>88.36511</v>
      </c>
      <c r="G123" s="5">
        <f>F123-L122</f>
        <v>88.36511</v>
      </c>
      <c r="H123" s="5">
        <f t="shared" si="12"/>
        <v>-343.77403</v>
      </c>
      <c r="I123" s="6">
        <f t="shared" si="13"/>
        <v>20.448300517282465</v>
      </c>
      <c r="J123" s="2"/>
      <c r="L123" s="37"/>
    </row>
    <row r="124" spans="1:12" ht="15.75">
      <c r="A124" s="17" t="s">
        <v>322</v>
      </c>
      <c r="B124" s="64" t="s">
        <v>445</v>
      </c>
      <c r="C124" s="74" t="s">
        <v>449</v>
      </c>
      <c r="D124" s="6">
        <v>259.96924</v>
      </c>
      <c r="E124" s="6">
        <v>86.6</v>
      </c>
      <c r="F124" s="5">
        <v>69.3253</v>
      </c>
      <c r="G124" s="5">
        <f>F124-L123</f>
        <v>69.3253</v>
      </c>
      <c r="H124" s="5">
        <f t="shared" si="12"/>
        <v>-190.64394000000001</v>
      </c>
      <c r="I124" s="6">
        <f t="shared" si="13"/>
        <v>26.66673180257787</v>
      </c>
      <c r="J124" s="2"/>
      <c r="L124" s="37"/>
    </row>
    <row r="125" spans="1:12" ht="18" customHeight="1">
      <c r="A125" s="17" t="s">
        <v>322</v>
      </c>
      <c r="B125" s="64" t="s">
        <v>446</v>
      </c>
      <c r="C125" s="74" t="s">
        <v>448</v>
      </c>
      <c r="D125" s="6">
        <v>2240.05368</v>
      </c>
      <c r="E125" s="6">
        <v>581.9</v>
      </c>
      <c r="F125" s="5">
        <v>473.30348</v>
      </c>
      <c r="G125" s="5" t="e">
        <f>F125-#REF!</f>
        <v>#REF!</v>
      </c>
      <c r="H125" s="5">
        <f t="shared" si="12"/>
        <v>-1766.7502</v>
      </c>
      <c r="I125" s="6">
        <f t="shared" si="13"/>
        <v>21.12911329874916</v>
      </c>
      <c r="J125" s="2"/>
      <c r="L125" s="37"/>
    </row>
    <row r="126" spans="1:12" ht="63" hidden="1">
      <c r="A126" s="17" t="s">
        <v>361</v>
      </c>
      <c r="B126" s="64" t="s">
        <v>432</v>
      </c>
      <c r="C126" s="74" t="s">
        <v>431</v>
      </c>
      <c r="D126" s="6">
        <v>0</v>
      </c>
      <c r="E126" s="6">
        <v>18.4</v>
      </c>
      <c r="F126" s="5">
        <v>0</v>
      </c>
      <c r="G126" s="5">
        <f>F126-L125</f>
        <v>0</v>
      </c>
      <c r="H126" s="5">
        <f t="shared" si="12"/>
        <v>0</v>
      </c>
      <c r="I126" s="6" t="e">
        <f t="shared" si="13"/>
        <v>#DIV/0!</v>
      </c>
      <c r="J126" s="2"/>
      <c r="L126" s="37"/>
    </row>
    <row r="127" spans="1:12" ht="15.75">
      <c r="A127" s="17" t="s">
        <v>322</v>
      </c>
      <c r="B127" s="64" t="s">
        <v>424</v>
      </c>
      <c r="C127" s="74" t="s">
        <v>397</v>
      </c>
      <c r="D127" s="6">
        <v>234.49958</v>
      </c>
      <c r="E127" s="6">
        <v>60.3</v>
      </c>
      <c r="F127" s="5">
        <v>60.77803</v>
      </c>
      <c r="G127" s="5">
        <f>F127-L126</f>
        <v>60.77803</v>
      </c>
      <c r="H127" s="5">
        <f t="shared" si="12"/>
        <v>-173.72155</v>
      </c>
      <c r="I127" s="6">
        <f t="shared" si="13"/>
        <v>25.918182881180424</v>
      </c>
      <c r="J127" s="2"/>
      <c r="L127" s="37"/>
    </row>
    <row r="128" spans="1:12" ht="50.25" customHeight="1">
      <c r="A128" s="17" t="s">
        <v>425</v>
      </c>
      <c r="B128" s="64" t="s">
        <v>424</v>
      </c>
      <c r="C128" s="74" t="s">
        <v>35</v>
      </c>
      <c r="D128" s="6">
        <v>294.876</v>
      </c>
      <c r="E128" s="6">
        <v>100</v>
      </c>
      <c r="F128" s="5">
        <v>44.63193</v>
      </c>
      <c r="G128" s="5">
        <f>F128-L127</f>
        <v>44.63193</v>
      </c>
      <c r="H128" s="5">
        <f t="shared" si="12"/>
        <v>-250.24406999999997</v>
      </c>
      <c r="I128" s="6">
        <f t="shared" si="13"/>
        <v>15.135829975989909</v>
      </c>
      <c r="J128" s="2"/>
      <c r="L128" s="2"/>
    </row>
    <row r="129" spans="1:12" ht="19.5" customHeight="1">
      <c r="A129" s="17" t="s">
        <v>414</v>
      </c>
      <c r="B129" s="64" t="s">
        <v>371</v>
      </c>
      <c r="C129" s="74" t="s">
        <v>110</v>
      </c>
      <c r="D129" s="6">
        <f>SUM(D130:D133)</f>
        <v>390</v>
      </c>
      <c r="E129" s="6">
        <f>SUM(E130:E133)</f>
        <v>141.2</v>
      </c>
      <c r="F129" s="6">
        <f>SUM(F130:F133)</f>
        <v>39.55632</v>
      </c>
      <c r="G129" s="6">
        <f>SUM(G130:G132)</f>
        <v>10</v>
      </c>
      <c r="H129" s="5">
        <f aca="true" t="shared" si="14" ref="H129:H163">F129-D129</f>
        <v>-350.44368</v>
      </c>
      <c r="I129" s="6">
        <f aca="true" t="shared" si="15" ref="I129:I163">F129/D129*100</f>
        <v>10.142646153846153</v>
      </c>
      <c r="J129" s="2"/>
      <c r="L129" s="38"/>
    </row>
    <row r="130" spans="1:12" ht="15" customHeight="1" hidden="1">
      <c r="A130" s="23" t="s">
        <v>342</v>
      </c>
      <c r="B130" s="50" t="s">
        <v>341</v>
      </c>
      <c r="C130" s="7" t="s">
        <v>470</v>
      </c>
      <c r="D130" s="1">
        <v>0</v>
      </c>
      <c r="E130" s="1">
        <v>21</v>
      </c>
      <c r="F130" s="8">
        <v>0</v>
      </c>
      <c r="G130" s="5">
        <f>F130-L129</f>
        <v>0</v>
      </c>
      <c r="H130" s="4">
        <f t="shared" si="14"/>
        <v>0</v>
      </c>
      <c r="I130" s="1" t="e">
        <f t="shared" si="15"/>
        <v>#DIV/0!</v>
      </c>
      <c r="J130" s="2"/>
      <c r="L130" s="38"/>
    </row>
    <row r="131" spans="1:12" ht="23.25" customHeight="1" hidden="1">
      <c r="A131" s="23" t="s">
        <v>382</v>
      </c>
      <c r="B131" s="50" t="s">
        <v>383</v>
      </c>
      <c r="C131" s="7" t="s">
        <v>471</v>
      </c>
      <c r="D131" s="1">
        <v>0</v>
      </c>
      <c r="E131" s="1">
        <v>120.2</v>
      </c>
      <c r="F131" s="8">
        <v>0</v>
      </c>
      <c r="G131" s="5">
        <f>F131-L130</f>
        <v>0</v>
      </c>
      <c r="H131" s="4">
        <f t="shared" si="14"/>
        <v>0</v>
      </c>
      <c r="I131" s="1" t="e">
        <f t="shared" si="15"/>
        <v>#DIV/0!</v>
      </c>
      <c r="J131" s="2"/>
      <c r="L131" s="37"/>
    </row>
    <row r="132" spans="1:12" ht="31.5" customHeight="1">
      <c r="A132" s="23" t="s">
        <v>382</v>
      </c>
      <c r="B132" s="50" t="s">
        <v>383</v>
      </c>
      <c r="C132" s="7" t="s">
        <v>179</v>
      </c>
      <c r="D132" s="1">
        <v>10</v>
      </c>
      <c r="E132" s="1"/>
      <c r="F132" s="4">
        <v>10</v>
      </c>
      <c r="G132" s="5">
        <f>F132-L131</f>
        <v>10</v>
      </c>
      <c r="H132" s="4">
        <f t="shared" si="14"/>
        <v>0</v>
      </c>
      <c r="I132" s="1">
        <f t="shared" si="15"/>
        <v>100</v>
      </c>
      <c r="J132" s="2"/>
      <c r="L132" s="2"/>
    </row>
    <row r="133" spans="1:12" ht="47.25">
      <c r="A133" s="23"/>
      <c r="B133" s="50" t="s">
        <v>42</v>
      </c>
      <c r="C133" s="63" t="s">
        <v>223</v>
      </c>
      <c r="D133" s="1">
        <v>380</v>
      </c>
      <c r="E133" s="1"/>
      <c r="F133" s="4">
        <v>29.55632</v>
      </c>
      <c r="G133" s="5"/>
      <c r="H133" s="4">
        <f t="shared" si="14"/>
        <v>-350.44368</v>
      </c>
      <c r="I133" s="1">
        <f t="shared" si="15"/>
        <v>7.77797894736842</v>
      </c>
      <c r="J133" s="2"/>
      <c r="L133" s="2"/>
    </row>
    <row r="134" spans="1:12" ht="15.75">
      <c r="A134" s="19" t="s">
        <v>323</v>
      </c>
      <c r="B134" s="72" t="s">
        <v>324</v>
      </c>
      <c r="C134" s="55" t="s">
        <v>111</v>
      </c>
      <c r="D134" s="6">
        <f>D136+D137+D135+D138</f>
        <v>1381.2573699999998</v>
      </c>
      <c r="E134" s="6">
        <f>E136+E137+E135+E138</f>
        <v>336.9</v>
      </c>
      <c r="F134" s="6">
        <f>F136+F137+F135+F138</f>
        <v>295.74391999999995</v>
      </c>
      <c r="G134" s="6">
        <f>G136+G137</f>
        <v>265.58392</v>
      </c>
      <c r="H134" s="5">
        <f t="shared" si="14"/>
        <v>-1085.51345</v>
      </c>
      <c r="I134" s="6">
        <f t="shared" si="15"/>
        <v>21.411210280094288</v>
      </c>
      <c r="J134" s="2"/>
      <c r="L134" s="37"/>
    </row>
    <row r="135" spans="1:12" ht="48" customHeight="1">
      <c r="A135" s="19" t="s">
        <v>323</v>
      </c>
      <c r="B135" s="49" t="s">
        <v>21</v>
      </c>
      <c r="C135" s="55" t="s">
        <v>193</v>
      </c>
      <c r="D135" s="1">
        <v>45</v>
      </c>
      <c r="E135" s="1"/>
      <c r="F135" s="1">
        <v>1.486</v>
      </c>
      <c r="G135" s="1"/>
      <c r="H135" s="4">
        <f t="shared" si="14"/>
        <v>-43.514</v>
      </c>
      <c r="I135" s="1">
        <f t="shared" si="15"/>
        <v>3.3022222222222224</v>
      </c>
      <c r="J135" s="2"/>
      <c r="L135" s="37"/>
    </row>
    <row r="136" spans="1:12" ht="62.25" customHeight="1">
      <c r="A136" s="19" t="s">
        <v>323</v>
      </c>
      <c r="B136" s="49" t="s">
        <v>415</v>
      </c>
      <c r="C136" s="7" t="s">
        <v>224</v>
      </c>
      <c r="D136" s="1">
        <v>70</v>
      </c>
      <c r="E136" s="1">
        <v>15</v>
      </c>
      <c r="F136" s="4">
        <v>21.87475</v>
      </c>
      <c r="G136" s="5">
        <f>F136-L134</f>
        <v>21.87475</v>
      </c>
      <c r="H136" s="4">
        <f t="shared" si="14"/>
        <v>-48.12525</v>
      </c>
      <c r="I136" s="1">
        <f t="shared" si="15"/>
        <v>31.249642857142856</v>
      </c>
      <c r="J136" s="2"/>
      <c r="L136" s="37"/>
    </row>
    <row r="137" spans="1:12" ht="31.5">
      <c r="A137" s="19" t="s">
        <v>323</v>
      </c>
      <c r="B137" s="49" t="s">
        <v>325</v>
      </c>
      <c r="C137" s="7" t="s">
        <v>427</v>
      </c>
      <c r="D137" s="1">
        <v>1205.39737</v>
      </c>
      <c r="E137" s="1">
        <v>321.9</v>
      </c>
      <c r="F137" s="4">
        <v>243.70917</v>
      </c>
      <c r="G137" s="5">
        <f>F137-L136</f>
        <v>243.70917</v>
      </c>
      <c r="H137" s="4">
        <f t="shared" si="14"/>
        <v>-961.6881999999999</v>
      </c>
      <c r="I137" s="1">
        <f t="shared" si="15"/>
        <v>20.218160091057776</v>
      </c>
      <c r="J137" s="2"/>
      <c r="L137" s="37"/>
    </row>
    <row r="138" spans="1:12" ht="46.5" customHeight="1">
      <c r="A138" s="19" t="s">
        <v>323</v>
      </c>
      <c r="B138" s="49" t="s">
        <v>22</v>
      </c>
      <c r="C138" s="55" t="s">
        <v>194</v>
      </c>
      <c r="D138" s="1">
        <v>60.86</v>
      </c>
      <c r="E138" s="1"/>
      <c r="F138" s="4">
        <v>28.674</v>
      </c>
      <c r="G138" s="5"/>
      <c r="H138" s="4">
        <f t="shared" si="14"/>
        <v>-32.186</v>
      </c>
      <c r="I138" s="1">
        <f t="shared" si="15"/>
        <v>47.114689451199474</v>
      </c>
      <c r="J138" s="2"/>
      <c r="L138" s="37"/>
    </row>
    <row r="139" spans="1:12" ht="27.75" customHeight="1" hidden="1">
      <c r="A139" s="17" t="s">
        <v>343</v>
      </c>
      <c r="B139" s="48" t="s">
        <v>340</v>
      </c>
      <c r="C139" s="24" t="s">
        <v>7</v>
      </c>
      <c r="D139" s="1"/>
      <c r="E139" s="1"/>
      <c r="F139" s="4"/>
      <c r="G139" s="5">
        <f>F139-L137</f>
        <v>0</v>
      </c>
      <c r="H139" s="4">
        <f t="shared" si="14"/>
        <v>0</v>
      </c>
      <c r="I139" s="1" t="e">
        <f t="shared" si="15"/>
        <v>#DIV/0!</v>
      </c>
      <c r="J139" s="2"/>
      <c r="L139" s="37"/>
    </row>
    <row r="140" spans="1:12" ht="31.5" customHeight="1">
      <c r="A140" s="17" t="s">
        <v>416</v>
      </c>
      <c r="B140" s="64" t="s">
        <v>464</v>
      </c>
      <c r="C140" s="87" t="s">
        <v>199</v>
      </c>
      <c r="D140" s="88">
        <f>D141</f>
        <v>100</v>
      </c>
      <c r="E140" s="88">
        <f>E141</f>
        <v>50</v>
      </c>
      <c r="F140" s="88">
        <f>F141</f>
        <v>0</v>
      </c>
      <c r="G140" s="89">
        <f>G141</f>
        <v>0</v>
      </c>
      <c r="H140" s="5">
        <f t="shared" si="14"/>
        <v>-100</v>
      </c>
      <c r="I140" s="6">
        <f t="shared" si="15"/>
        <v>0</v>
      </c>
      <c r="J140" s="2"/>
      <c r="L140" s="37"/>
    </row>
    <row r="141" spans="1:12" ht="29.25" customHeight="1">
      <c r="A141" s="19" t="s">
        <v>416</v>
      </c>
      <c r="B141" s="49" t="s">
        <v>417</v>
      </c>
      <c r="C141" s="7" t="s">
        <v>202</v>
      </c>
      <c r="D141" s="9">
        <v>100</v>
      </c>
      <c r="E141" s="9">
        <v>50</v>
      </c>
      <c r="F141" s="4">
        <v>0</v>
      </c>
      <c r="G141" s="5">
        <f>F141-L140</f>
        <v>0</v>
      </c>
      <c r="H141" s="4">
        <f t="shared" si="14"/>
        <v>-100</v>
      </c>
      <c r="I141" s="1">
        <f t="shared" si="15"/>
        <v>0</v>
      </c>
      <c r="J141" s="2"/>
      <c r="L141" s="2"/>
    </row>
    <row r="142" spans="1:12" ht="30" customHeight="1" hidden="1">
      <c r="A142" s="19" t="s">
        <v>416</v>
      </c>
      <c r="B142" s="49" t="s">
        <v>478</v>
      </c>
      <c r="C142" s="7" t="s">
        <v>480</v>
      </c>
      <c r="D142" s="9"/>
      <c r="E142" s="9"/>
      <c r="F142" s="4"/>
      <c r="G142" s="5"/>
      <c r="H142" s="4">
        <f t="shared" si="14"/>
        <v>0</v>
      </c>
      <c r="I142" s="1" t="e">
        <f t="shared" si="15"/>
        <v>#DIV/0!</v>
      </c>
      <c r="J142" s="2"/>
      <c r="L142" s="2"/>
    </row>
    <row r="143" spans="1:12" ht="31.5">
      <c r="A143" s="17"/>
      <c r="B143" s="64" t="s">
        <v>367</v>
      </c>
      <c r="C143" s="74" t="s">
        <v>198</v>
      </c>
      <c r="D143" s="6">
        <f>SUM(D144:D148)</f>
        <v>776.12</v>
      </c>
      <c r="E143" s="6">
        <f>SUM(E144:E148)</f>
        <v>447.1</v>
      </c>
      <c r="F143" s="6">
        <f>SUM(F144:F148)</f>
        <v>136.15392</v>
      </c>
      <c r="G143" s="6">
        <f>SUM(G144:G146)</f>
        <v>136.15392</v>
      </c>
      <c r="H143" s="5">
        <f t="shared" si="14"/>
        <v>-639.96608</v>
      </c>
      <c r="I143" s="6">
        <f t="shared" si="15"/>
        <v>17.54289542854198</v>
      </c>
      <c r="J143" s="2"/>
      <c r="L143" s="37"/>
    </row>
    <row r="144" spans="1:12" ht="63" hidden="1">
      <c r="A144" s="17" t="s">
        <v>326</v>
      </c>
      <c r="B144" s="64" t="s">
        <v>327</v>
      </c>
      <c r="C144" s="55" t="s">
        <v>9</v>
      </c>
      <c r="D144" s="6">
        <v>0</v>
      </c>
      <c r="E144" s="6">
        <v>140</v>
      </c>
      <c r="F144" s="5">
        <v>0</v>
      </c>
      <c r="G144" s="5">
        <f>F144-L143</f>
        <v>0</v>
      </c>
      <c r="H144" s="5">
        <f t="shared" si="14"/>
        <v>0</v>
      </c>
      <c r="I144" s="6" t="e">
        <f t="shared" si="15"/>
        <v>#DIV/0!</v>
      </c>
      <c r="J144" s="2"/>
      <c r="L144" s="37"/>
    </row>
    <row r="145" spans="1:12" ht="48" customHeight="1">
      <c r="A145" s="17" t="s">
        <v>326</v>
      </c>
      <c r="B145" s="64" t="s">
        <v>327</v>
      </c>
      <c r="C145" s="55" t="s">
        <v>195</v>
      </c>
      <c r="D145" s="6">
        <v>408.6</v>
      </c>
      <c r="E145" s="6">
        <v>292.6</v>
      </c>
      <c r="F145" s="5">
        <v>131.42592</v>
      </c>
      <c r="G145" s="5">
        <f>F145-L144</f>
        <v>131.42592</v>
      </c>
      <c r="H145" s="5">
        <f t="shared" si="14"/>
        <v>-277.17408</v>
      </c>
      <c r="I145" s="6">
        <f t="shared" si="15"/>
        <v>32.16493392070484</v>
      </c>
      <c r="J145" s="2"/>
      <c r="L145" s="37"/>
    </row>
    <row r="146" spans="1:12" ht="48.75" customHeight="1">
      <c r="A146" s="17" t="s">
        <v>326</v>
      </c>
      <c r="B146" s="64" t="s">
        <v>389</v>
      </c>
      <c r="C146" s="63" t="s">
        <v>196</v>
      </c>
      <c r="D146" s="6">
        <v>18</v>
      </c>
      <c r="E146" s="6">
        <v>12.5</v>
      </c>
      <c r="F146" s="5">
        <v>4.728</v>
      </c>
      <c r="G146" s="5">
        <f>F146-L145</f>
        <v>4.728</v>
      </c>
      <c r="H146" s="5">
        <f t="shared" si="14"/>
        <v>-13.272</v>
      </c>
      <c r="I146" s="6">
        <f t="shared" si="15"/>
        <v>26.266666666666666</v>
      </c>
      <c r="J146" s="2"/>
      <c r="L146" s="37"/>
    </row>
    <row r="147" spans="1:12" ht="31.5" hidden="1">
      <c r="A147" s="17" t="s">
        <v>328</v>
      </c>
      <c r="B147" s="64" t="s">
        <v>435</v>
      </c>
      <c r="C147" s="63" t="s">
        <v>10</v>
      </c>
      <c r="D147" s="6">
        <v>0</v>
      </c>
      <c r="E147" s="6">
        <v>2</v>
      </c>
      <c r="F147" s="5">
        <v>0</v>
      </c>
      <c r="G147" s="5">
        <f>F147-L146</f>
        <v>0</v>
      </c>
      <c r="H147" s="5">
        <f t="shared" si="14"/>
        <v>0</v>
      </c>
      <c r="I147" s="6" t="e">
        <f t="shared" si="15"/>
        <v>#DIV/0!</v>
      </c>
      <c r="J147" s="2"/>
      <c r="L147" s="37"/>
    </row>
    <row r="148" spans="1:12" ht="49.5" customHeight="1">
      <c r="A148" s="17" t="s">
        <v>326</v>
      </c>
      <c r="B148" s="64" t="s">
        <v>327</v>
      </c>
      <c r="C148" s="63" t="s">
        <v>225</v>
      </c>
      <c r="D148" s="6">
        <v>349.52</v>
      </c>
      <c r="E148" s="6"/>
      <c r="F148" s="5">
        <v>0</v>
      </c>
      <c r="G148" s="5"/>
      <c r="H148" s="5">
        <f t="shared" si="14"/>
        <v>-349.52</v>
      </c>
      <c r="I148" s="6">
        <f t="shared" si="15"/>
        <v>0</v>
      </c>
      <c r="J148" s="2"/>
      <c r="L148" s="37"/>
    </row>
    <row r="149" spans="1:12" ht="31.5">
      <c r="A149" s="17"/>
      <c r="B149" s="64" t="s">
        <v>48</v>
      </c>
      <c r="C149" s="63" t="s">
        <v>197</v>
      </c>
      <c r="D149" s="6">
        <f>D150+D151+D152+D154+D153</f>
        <v>231.14347</v>
      </c>
      <c r="E149" s="6">
        <f>E150+E151+E152+E154+E153</f>
        <v>10</v>
      </c>
      <c r="F149" s="6">
        <f>F150+F151+F152+F154+F153</f>
        <v>1.66127</v>
      </c>
      <c r="G149" s="5"/>
      <c r="H149" s="5">
        <f t="shared" si="14"/>
        <v>-229.4822</v>
      </c>
      <c r="I149" s="6">
        <f t="shared" si="15"/>
        <v>0.7187181190971997</v>
      </c>
      <c r="J149" s="2"/>
      <c r="L149" s="37"/>
    </row>
    <row r="150" spans="1:12" ht="65.25" customHeight="1">
      <c r="A150" s="17"/>
      <c r="B150" s="64" t="s">
        <v>435</v>
      </c>
      <c r="C150" s="63" t="s">
        <v>200</v>
      </c>
      <c r="D150" s="6">
        <v>20.385</v>
      </c>
      <c r="E150" s="6"/>
      <c r="F150" s="5">
        <v>0.385</v>
      </c>
      <c r="G150" s="5"/>
      <c r="H150" s="5">
        <f t="shared" si="14"/>
        <v>-20</v>
      </c>
      <c r="I150" s="6">
        <f t="shared" si="15"/>
        <v>1.888643610497915</v>
      </c>
      <c r="J150" s="2"/>
      <c r="L150" s="37"/>
    </row>
    <row r="151" spans="1:12" ht="63">
      <c r="A151" s="17" t="s">
        <v>328</v>
      </c>
      <c r="B151" s="64" t="s">
        <v>435</v>
      </c>
      <c r="C151" s="63" t="s">
        <v>201</v>
      </c>
      <c r="D151" s="6">
        <v>20.75847</v>
      </c>
      <c r="E151" s="6">
        <v>10</v>
      </c>
      <c r="F151" s="5">
        <v>1.27627</v>
      </c>
      <c r="G151" s="5">
        <f>F151-L147</f>
        <v>1.27627</v>
      </c>
      <c r="H151" s="5">
        <f t="shared" si="14"/>
        <v>-19.4822</v>
      </c>
      <c r="I151" s="6">
        <f t="shared" si="15"/>
        <v>6.148189148814918</v>
      </c>
      <c r="J151" s="2"/>
      <c r="L151" s="37"/>
    </row>
    <row r="152" spans="1:12" ht="47.25">
      <c r="A152" s="25" t="s">
        <v>328</v>
      </c>
      <c r="B152" s="64" t="s">
        <v>435</v>
      </c>
      <c r="C152" s="63" t="s">
        <v>226</v>
      </c>
      <c r="D152" s="6">
        <v>30</v>
      </c>
      <c r="E152" s="6"/>
      <c r="F152" s="5">
        <v>0</v>
      </c>
      <c r="G152" s="5"/>
      <c r="H152" s="5">
        <f t="shared" si="14"/>
        <v>-30</v>
      </c>
      <c r="I152" s="6">
        <f t="shared" si="15"/>
        <v>0</v>
      </c>
      <c r="J152" s="2"/>
      <c r="L152" s="37"/>
    </row>
    <row r="153" spans="1:12" ht="63.75" customHeight="1">
      <c r="A153" s="25"/>
      <c r="B153" s="64" t="s">
        <v>435</v>
      </c>
      <c r="C153" s="63" t="s">
        <v>201</v>
      </c>
      <c r="D153" s="6">
        <v>150</v>
      </c>
      <c r="E153" s="6"/>
      <c r="F153" s="5">
        <v>0</v>
      </c>
      <c r="G153" s="5"/>
      <c r="H153" s="5">
        <f t="shared" si="14"/>
        <v>-150</v>
      </c>
      <c r="I153" s="6">
        <f t="shared" si="15"/>
        <v>0</v>
      </c>
      <c r="J153" s="2"/>
      <c r="L153" s="37"/>
    </row>
    <row r="154" spans="1:12" ht="30.75" customHeight="1">
      <c r="A154" s="25" t="s">
        <v>328</v>
      </c>
      <c r="B154" s="64" t="s">
        <v>203</v>
      </c>
      <c r="C154" s="63" t="s">
        <v>204</v>
      </c>
      <c r="D154" s="6">
        <v>10</v>
      </c>
      <c r="E154" s="6"/>
      <c r="F154" s="5">
        <v>0</v>
      </c>
      <c r="G154" s="5"/>
      <c r="H154" s="5">
        <f t="shared" si="14"/>
        <v>-10</v>
      </c>
      <c r="I154" s="6">
        <f t="shared" si="15"/>
        <v>0</v>
      </c>
      <c r="J154" s="2"/>
      <c r="L154" s="37"/>
    </row>
    <row r="155" spans="1:12" ht="32.25" customHeight="1">
      <c r="A155" s="17" t="s">
        <v>418</v>
      </c>
      <c r="B155" s="64" t="s">
        <v>465</v>
      </c>
      <c r="C155" s="55" t="s">
        <v>207</v>
      </c>
      <c r="D155" s="6">
        <f>D156+D157</f>
        <v>275.2</v>
      </c>
      <c r="E155" s="6">
        <f>E156+E157</f>
        <v>119.7</v>
      </c>
      <c r="F155" s="6">
        <f>F156+F157</f>
        <v>61.25354</v>
      </c>
      <c r="G155" s="5"/>
      <c r="H155" s="5">
        <f t="shared" si="14"/>
        <v>-213.94646</v>
      </c>
      <c r="I155" s="6">
        <f t="shared" si="15"/>
        <v>22.25782703488372</v>
      </c>
      <c r="J155" s="2"/>
      <c r="L155" s="37"/>
    </row>
    <row r="156" spans="1:12" ht="60" customHeight="1">
      <c r="A156" s="17" t="s">
        <v>418</v>
      </c>
      <c r="B156" s="64" t="s">
        <v>347</v>
      </c>
      <c r="C156" s="55" t="s">
        <v>208</v>
      </c>
      <c r="D156" s="6">
        <v>27.5</v>
      </c>
      <c r="E156" s="6">
        <v>20</v>
      </c>
      <c r="F156" s="5">
        <v>2.96166</v>
      </c>
      <c r="G156" s="5">
        <f>F156-L155</f>
        <v>2.96166</v>
      </c>
      <c r="H156" s="5">
        <f t="shared" si="14"/>
        <v>-24.538339999999998</v>
      </c>
      <c r="I156" s="6">
        <f t="shared" si="15"/>
        <v>10.769672727272727</v>
      </c>
      <c r="J156" s="2"/>
      <c r="L156" s="37"/>
    </row>
    <row r="157" spans="1:12" ht="31.5">
      <c r="A157" s="17" t="s">
        <v>418</v>
      </c>
      <c r="B157" s="64" t="s">
        <v>339</v>
      </c>
      <c r="C157" s="55" t="s">
        <v>472</v>
      </c>
      <c r="D157" s="6">
        <v>247.7</v>
      </c>
      <c r="E157" s="6">
        <v>99.7</v>
      </c>
      <c r="F157" s="5">
        <v>58.29188</v>
      </c>
      <c r="G157" s="5">
        <f>F157-L156</f>
        <v>58.29188</v>
      </c>
      <c r="H157" s="5">
        <f t="shared" si="14"/>
        <v>-189.40812</v>
      </c>
      <c r="I157" s="6">
        <f t="shared" si="15"/>
        <v>23.533257973354864</v>
      </c>
      <c r="J157" s="2"/>
      <c r="L157" s="37"/>
    </row>
    <row r="158" spans="1:12" ht="15" customHeight="1">
      <c r="A158" s="17"/>
      <c r="B158" s="64" t="s">
        <v>466</v>
      </c>
      <c r="C158" s="55" t="s">
        <v>209</v>
      </c>
      <c r="D158" s="6">
        <f>D160+D169+D171+D172+D173+D174+D175+D176+D179+D178+D170+D161+D177</f>
        <v>572.27134</v>
      </c>
      <c r="E158" s="6">
        <f>E160+E169+E171+E172+E173+E174+E175+E176+E179+E178+E170+E161+E177</f>
        <v>0</v>
      </c>
      <c r="F158" s="6">
        <f>F160+F169+F171+F172+F173+F174+F175+F176+F179+F178+F170+F161+F177</f>
        <v>52.04213</v>
      </c>
      <c r="G158" s="6" t="e">
        <f>G159+G160+G161+G162+G165+G166+G171+G172+G179+#REF!+#REF!+#REF!</f>
        <v>#REF!</v>
      </c>
      <c r="H158" s="5">
        <f t="shared" si="14"/>
        <v>-520.22921</v>
      </c>
      <c r="I158" s="6">
        <f t="shared" si="15"/>
        <v>9.093960567726493</v>
      </c>
      <c r="J158" s="2"/>
      <c r="L158" s="37"/>
    </row>
    <row r="159" spans="1:12" ht="13.5" customHeight="1" hidden="1">
      <c r="A159" s="17" t="s">
        <v>329</v>
      </c>
      <c r="B159" s="48" t="s">
        <v>330</v>
      </c>
      <c r="C159" s="18" t="s">
        <v>364</v>
      </c>
      <c r="D159" s="1">
        <v>0</v>
      </c>
      <c r="E159" s="1">
        <v>60</v>
      </c>
      <c r="F159" s="4">
        <v>0</v>
      </c>
      <c r="G159" s="5">
        <f>F159-L158</f>
        <v>0</v>
      </c>
      <c r="H159" s="4">
        <f t="shared" si="14"/>
        <v>0</v>
      </c>
      <c r="I159" s="1" t="e">
        <f t="shared" si="15"/>
        <v>#DIV/0!</v>
      </c>
      <c r="J159" s="2"/>
      <c r="L159" s="2"/>
    </row>
    <row r="160" spans="1:12" ht="47.25" hidden="1">
      <c r="A160" s="17" t="s">
        <v>329</v>
      </c>
      <c r="B160" s="64" t="s">
        <v>428</v>
      </c>
      <c r="C160" s="55" t="s">
        <v>210</v>
      </c>
      <c r="D160" s="6"/>
      <c r="E160" s="6"/>
      <c r="F160" s="6"/>
      <c r="G160" s="5">
        <f>F160-L159</f>
        <v>0</v>
      </c>
      <c r="H160" s="5">
        <f t="shared" si="14"/>
        <v>0</v>
      </c>
      <c r="I160" s="6" t="e">
        <f t="shared" si="15"/>
        <v>#DIV/0!</v>
      </c>
      <c r="J160" s="2"/>
      <c r="L160" s="37"/>
    </row>
    <row r="161" spans="1:12" ht="51.75" customHeight="1" hidden="1">
      <c r="A161" s="17" t="s">
        <v>332</v>
      </c>
      <c r="B161" s="48" t="s">
        <v>428</v>
      </c>
      <c r="C161" s="7" t="s">
        <v>211</v>
      </c>
      <c r="D161" s="1"/>
      <c r="E161" s="1"/>
      <c r="F161" s="4"/>
      <c r="G161" s="5">
        <f>F161-L160</f>
        <v>0</v>
      </c>
      <c r="H161" s="4">
        <f t="shared" si="14"/>
        <v>0</v>
      </c>
      <c r="I161" s="1" t="e">
        <f t="shared" si="15"/>
        <v>#DIV/0!</v>
      </c>
      <c r="J161" s="2"/>
      <c r="L161" s="37"/>
    </row>
    <row r="162" spans="1:12" ht="15" customHeight="1" hidden="1">
      <c r="A162" s="19" t="s">
        <v>332</v>
      </c>
      <c r="B162" s="49" t="s">
        <v>338</v>
      </c>
      <c r="C162" s="26" t="s">
        <v>3</v>
      </c>
      <c r="D162" s="1">
        <v>0</v>
      </c>
      <c r="E162" s="1"/>
      <c r="F162" s="4"/>
      <c r="G162" s="5">
        <f>F162-L161</f>
        <v>0</v>
      </c>
      <c r="H162" s="4">
        <f t="shared" si="14"/>
        <v>0</v>
      </c>
      <c r="I162" s="1" t="e">
        <f t="shared" si="15"/>
        <v>#DIV/0!</v>
      </c>
      <c r="J162" s="2"/>
      <c r="L162" s="2"/>
    </row>
    <row r="163" spans="1:12" ht="12.75" customHeight="1" hidden="1">
      <c r="A163" s="17" t="s">
        <v>329</v>
      </c>
      <c r="B163" s="48" t="s">
        <v>331</v>
      </c>
      <c r="C163" s="7" t="s">
        <v>437</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329</v>
      </c>
      <c r="B165" s="48" t="s">
        <v>331</v>
      </c>
      <c r="C165" s="7" t="s">
        <v>5</v>
      </c>
      <c r="D165" s="6"/>
      <c r="E165" s="1"/>
      <c r="F165" s="1"/>
      <c r="G165" s="5"/>
      <c r="H165" s="4">
        <f aca="true" t="shared" si="16" ref="H165:H183">F165-D165</f>
        <v>0</v>
      </c>
      <c r="I165" s="1" t="e">
        <f aca="true" t="shared" si="17" ref="I165:I183">F165/D165*100</f>
        <v>#DIV/0!</v>
      </c>
      <c r="J165" s="2"/>
      <c r="L165" s="2"/>
    </row>
    <row r="166" spans="1:12" ht="13.5" customHeight="1" hidden="1">
      <c r="A166" s="17" t="s">
        <v>329</v>
      </c>
      <c r="B166" s="48" t="s">
        <v>331</v>
      </c>
      <c r="C166" s="7" t="s">
        <v>4</v>
      </c>
      <c r="D166" s="6"/>
      <c r="E166" s="1">
        <v>0.3</v>
      </c>
      <c r="F166" s="1"/>
      <c r="G166" s="5">
        <f>F166-L164</f>
        <v>0</v>
      </c>
      <c r="H166" s="4">
        <f t="shared" si="16"/>
        <v>0</v>
      </c>
      <c r="I166" s="1" t="e">
        <f t="shared" si="17"/>
        <v>#DIV/0!</v>
      </c>
      <c r="J166" s="2"/>
      <c r="L166" s="2"/>
    </row>
    <row r="167" spans="1:12" ht="12.75" customHeight="1" hidden="1">
      <c r="A167" s="17" t="s">
        <v>329</v>
      </c>
      <c r="B167" s="48" t="s">
        <v>331</v>
      </c>
      <c r="C167" s="7" t="s">
        <v>450</v>
      </c>
      <c r="D167" s="11">
        <v>0</v>
      </c>
      <c r="E167" s="1">
        <v>2.5</v>
      </c>
      <c r="F167" s="1">
        <v>0</v>
      </c>
      <c r="G167" s="5">
        <f>F167-L166</f>
        <v>0</v>
      </c>
      <c r="H167" s="4">
        <f t="shared" si="16"/>
        <v>0</v>
      </c>
      <c r="I167" s="1" t="e">
        <f t="shared" si="17"/>
        <v>#DIV/0!</v>
      </c>
      <c r="J167" s="2"/>
      <c r="L167" s="2"/>
    </row>
    <row r="168" spans="1:12" ht="13.5" customHeight="1" hidden="1">
      <c r="A168" s="17" t="s">
        <v>329</v>
      </c>
      <c r="B168" s="48" t="s">
        <v>331</v>
      </c>
      <c r="C168" s="7" t="s">
        <v>477</v>
      </c>
      <c r="D168" s="6"/>
      <c r="E168" s="1">
        <v>50</v>
      </c>
      <c r="F168" s="1">
        <v>0</v>
      </c>
      <c r="G168" s="5">
        <f>F168-L167</f>
        <v>0</v>
      </c>
      <c r="H168" s="4">
        <f t="shared" si="16"/>
        <v>0</v>
      </c>
      <c r="I168" s="1" t="e">
        <f t="shared" si="17"/>
        <v>#DIV/0!</v>
      </c>
      <c r="J168" s="2"/>
      <c r="L168" s="2"/>
    </row>
    <row r="169" spans="1:12" ht="12" customHeight="1" hidden="1">
      <c r="A169" s="17" t="s">
        <v>329</v>
      </c>
      <c r="B169" s="48" t="s">
        <v>330</v>
      </c>
      <c r="C169" s="7" t="s">
        <v>364</v>
      </c>
      <c r="D169" s="6"/>
      <c r="E169" s="1"/>
      <c r="F169" s="1">
        <v>0</v>
      </c>
      <c r="G169" s="5"/>
      <c r="H169" s="4">
        <f t="shared" si="16"/>
        <v>0</v>
      </c>
      <c r="I169" s="1" t="e">
        <f t="shared" si="17"/>
        <v>#DIV/0!</v>
      </c>
      <c r="J169" s="2"/>
      <c r="L169" s="2"/>
    </row>
    <row r="170" spans="1:12" ht="21" customHeight="1" hidden="1">
      <c r="A170" s="17"/>
      <c r="B170" s="48" t="s">
        <v>80</v>
      </c>
      <c r="C170" s="7" t="s">
        <v>81</v>
      </c>
      <c r="D170" s="6"/>
      <c r="E170" s="1"/>
      <c r="F170" s="1">
        <v>0</v>
      </c>
      <c r="G170" s="5"/>
      <c r="H170" s="4">
        <f t="shared" si="16"/>
        <v>0</v>
      </c>
      <c r="I170" s="1" t="e">
        <f t="shared" si="17"/>
        <v>#DIV/0!</v>
      </c>
      <c r="J170" s="2"/>
      <c r="L170" s="2"/>
    </row>
    <row r="171" spans="1:12" ht="48.75" customHeight="1">
      <c r="A171" s="17" t="s">
        <v>332</v>
      </c>
      <c r="B171" s="48" t="s">
        <v>467</v>
      </c>
      <c r="C171" s="7" t="s">
        <v>227</v>
      </c>
      <c r="D171" s="6">
        <v>119</v>
      </c>
      <c r="E171" s="1"/>
      <c r="F171" s="1">
        <v>11.30298</v>
      </c>
      <c r="G171" s="5"/>
      <c r="H171" s="4">
        <f t="shared" si="16"/>
        <v>-107.69702</v>
      </c>
      <c r="I171" s="1">
        <f t="shared" si="17"/>
        <v>9.498302521008403</v>
      </c>
      <c r="J171" s="2"/>
      <c r="L171" s="2"/>
    </row>
    <row r="172" spans="1:12" ht="63">
      <c r="A172" s="17" t="s">
        <v>332</v>
      </c>
      <c r="B172" s="48" t="s">
        <v>467</v>
      </c>
      <c r="C172" s="7" t="s">
        <v>212</v>
      </c>
      <c r="D172" s="6">
        <v>15</v>
      </c>
      <c r="E172" s="1"/>
      <c r="F172" s="1">
        <v>3.45328</v>
      </c>
      <c r="G172" s="5"/>
      <c r="H172" s="4">
        <f t="shared" si="16"/>
        <v>-11.54672</v>
      </c>
      <c r="I172" s="1">
        <f t="shared" si="17"/>
        <v>23.021866666666664</v>
      </c>
      <c r="J172" s="2"/>
      <c r="L172" s="2"/>
    </row>
    <row r="173" spans="1:12" ht="63">
      <c r="A173" s="17"/>
      <c r="B173" s="48" t="s">
        <v>467</v>
      </c>
      <c r="C173" s="7" t="s">
        <v>228</v>
      </c>
      <c r="D173" s="6">
        <v>70</v>
      </c>
      <c r="E173" s="1"/>
      <c r="F173" s="1">
        <v>1.40717</v>
      </c>
      <c r="G173" s="5"/>
      <c r="H173" s="4">
        <f t="shared" si="16"/>
        <v>-68.59283</v>
      </c>
      <c r="I173" s="1">
        <f t="shared" si="17"/>
        <v>2.0102428571428574</v>
      </c>
      <c r="J173" s="2"/>
      <c r="L173" s="2"/>
    </row>
    <row r="174" spans="1:12" ht="78.75">
      <c r="A174" s="17"/>
      <c r="B174" s="48" t="s">
        <v>467</v>
      </c>
      <c r="C174" s="7" t="s">
        <v>213</v>
      </c>
      <c r="D174" s="6">
        <v>15</v>
      </c>
      <c r="E174" s="1"/>
      <c r="F174" s="1">
        <v>3.84545</v>
      </c>
      <c r="G174" s="5"/>
      <c r="H174" s="4">
        <f t="shared" si="16"/>
        <v>-11.15455</v>
      </c>
      <c r="I174" s="1">
        <f t="shared" si="17"/>
        <v>25.636333333333333</v>
      </c>
      <c r="J174" s="2"/>
      <c r="L174" s="2"/>
    </row>
    <row r="175" spans="1:12" ht="63">
      <c r="A175" s="17"/>
      <c r="B175" s="48" t="s">
        <v>467</v>
      </c>
      <c r="C175" s="7" t="s">
        <v>214</v>
      </c>
      <c r="D175" s="6">
        <v>45</v>
      </c>
      <c r="E175" s="1"/>
      <c r="F175" s="1">
        <v>8.3754</v>
      </c>
      <c r="G175" s="5"/>
      <c r="H175" s="4">
        <f t="shared" si="16"/>
        <v>-36.6246</v>
      </c>
      <c r="I175" s="1">
        <f t="shared" si="17"/>
        <v>18.612000000000002</v>
      </c>
      <c r="J175" s="2"/>
      <c r="L175" s="2"/>
    </row>
    <row r="176" spans="1:12" ht="78.75">
      <c r="A176" s="17"/>
      <c r="B176" s="48" t="s">
        <v>467</v>
      </c>
      <c r="C176" s="7" t="s">
        <v>215</v>
      </c>
      <c r="D176" s="6">
        <v>32</v>
      </c>
      <c r="E176" s="1"/>
      <c r="F176" s="1">
        <v>0</v>
      </c>
      <c r="G176" s="5"/>
      <c r="H176" s="4">
        <f t="shared" si="16"/>
        <v>-32</v>
      </c>
      <c r="I176" s="1">
        <f t="shared" si="17"/>
        <v>0</v>
      </c>
      <c r="J176" s="2"/>
      <c r="L176" s="2"/>
    </row>
    <row r="177" spans="1:12" ht="78.75">
      <c r="A177" s="17"/>
      <c r="B177" s="48" t="s">
        <v>467</v>
      </c>
      <c r="C177" s="7" t="s">
        <v>229</v>
      </c>
      <c r="D177" s="6">
        <v>110</v>
      </c>
      <c r="E177" s="1"/>
      <c r="F177" s="1">
        <v>0</v>
      </c>
      <c r="G177" s="5"/>
      <c r="H177" s="4">
        <f t="shared" si="16"/>
        <v>-110</v>
      </c>
      <c r="I177" s="1">
        <f t="shared" si="17"/>
        <v>0</v>
      </c>
      <c r="J177" s="2"/>
      <c r="L177" s="2"/>
    </row>
    <row r="178" spans="1:12" ht="78.75">
      <c r="A178" s="17"/>
      <c r="B178" s="48" t="s">
        <v>467</v>
      </c>
      <c r="C178" s="7" t="s">
        <v>79</v>
      </c>
      <c r="D178" s="6">
        <v>34.6</v>
      </c>
      <c r="E178" s="1"/>
      <c r="F178" s="1">
        <v>0</v>
      </c>
      <c r="G178" s="5"/>
      <c r="H178" s="4">
        <f t="shared" si="16"/>
        <v>-34.6</v>
      </c>
      <c r="I178" s="1">
        <f t="shared" si="17"/>
        <v>0</v>
      </c>
      <c r="J178" s="2"/>
      <c r="L178" s="2"/>
    </row>
    <row r="179" spans="1:12" ht="14.25" customHeight="1">
      <c r="A179" s="17" t="s">
        <v>332</v>
      </c>
      <c r="B179" s="48" t="s">
        <v>331</v>
      </c>
      <c r="C179" s="7" t="s">
        <v>216</v>
      </c>
      <c r="D179" s="6">
        <v>131.67134</v>
      </c>
      <c r="E179" s="1"/>
      <c r="F179" s="1">
        <v>23.65785</v>
      </c>
      <c r="G179" s="5"/>
      <c r="H179" s="4">
        <f t="shared" si="16"/>
        <v>-108.01348999999999</v>
      </c>
      <c r="I179" s="1">
        <f t="shared" si="17"/>
        <v>17.967349614578236</v>
      </c>
      <c r="J179" s="2"/>
      <c r="L179" s="2"/>
    </row>
    <row r="180" spans="1:12" ht="13.5" customHeight="1" hidden="1">
      <c r="A180" s="17"/>
      <c r="B180" s="48" t="s">
        <v>467</v>
      </c>
      <c r="C180" s="7" t="s">
        <v>16</v>
      </c>
      <c r="D180" s="6"/>
      <c r="E180" s="1"/>
      <c r="F180" s="1">
        <v>0</v>
      </c>
      <c r="G180" s="5"/>
      <c r="H180" s="4">
        <f t="shared" si="16"/>
        <v>0</v>
      </c>
      <c r="I180" s="1" t="e">
        <f t="shared" si="17"/>
        <v>#DIV/0!</v>
      </c>
      <c r="J180" s="2"/>
      <c r="L180" s="2"/>
    </row>
    <row r="181" spans="1:12" ht="15.75">
      <c r="A181" s="90"/>
      <c r="B181" s="64"/>
      <c r="C181" s="55" t="s">
        <v>419</v>
      </c>
      <c r="D181" s="6">
        <f>D12+D22+D23+D40+D115+D122+D129+D134+D140+D143+D149+D155+D158</f>
        <v>124480.07863999999</v>
      </c>
      <c r="E181" s="6">
        <f>E12+E22+E23+E40+E115+E122+E129+E134+E140+E143+E149+E155+E158</f>
        <v>36216.49999999999</v>
      </c>
      <c r="F181" s="6">
        <f>F12+F22+F23+F40+F115+F122+F129+F134+F140+F143+F149+F155+F158</f>
        <v>27540.381210000007</v>
      </c>
      <c r="G181" s="6" t="e">
        <f>G12+G23+G38+G40+G115+G122+G129+G134+G139+G141+G143+G147+G151+G156+G157+G159+G160+G162+G161+G163+G164+G166+G167+G168</f>
        <v>#REF!</v>
      </c>
      <c r="H181" s="5">
        <f t="shared" si="16"/>
        <v>-96939.69742999999</v>
      </c>
      <c r="I181" s="6">
        <f t="shared" si="17"/>
        <v>22.124328254682094</v>
      </c>
      <c r="J181" s="2"/>
      <c r="L181" s="37"/>
    </row>
    <row r="182" spans="1:12" ht="18.75" customHeight="1">
      <c r="A182" s="90" t="s">
        <v>332</v>
      </c>
      <c r="B182" s="64" t="s">
        <v>333</v>
      </c>
      <c r="C182" s="55" t="s">
        <v>420</v>
      </c>
      <c r="D182" s="6">
        <v>42313.4</v>
      </c>
      <c r="E182" s="6">
        <v>10216.7</v>
      </c>
      <c r="F182" s="5">
        <v>10018.7724</v>
      </c>
      <c r="G182" s="5">
        <f>F182-L181</f>
        <v>10018.7724</v>
      </c>
      <c r="H182" s="5">
        <f t="shared" si="16"/>
        <v>-32294.6276</v>
      </c>
      <c r="I182" s="6">
        <f t="shared" si="17"/>
        <v>23.677540448179535</v>
      </c>
      <c r="J182" s="2"/>
      <c r="L182" s="2"/>
    </row>
    <row r="183" spans="1:12" ht="15.75">
      <c r="A183" s="90"/>
      <c r="B183" s="90"/>
      <c r="C183" s="55" t="s">
        <v>289</v>
      </c>
      <c r="D183" s="6">
        <f>SUM(D181:D182)</f>
        <v>166793.47864</v>
      </c>
      <c r="E183" s="6">
        <f>SUM(E181:E182)</f>
        <v>46433.2</v>
      </c>
      <c r="F183" s="6">
        <f>SUM(F181:F182)</f>
        <v>37559.15361000001</v>
      </c>
      <c r="G183" s="6" t="e">
        <f>G181+G182</f>
        <v>#REF!</v>
      </c>
      <c r="H183" s="5">
        <f t="shared" si="16"/>
        <v>-129234.32502999998</v>
      </c>
      <c r="I183" s="6">
        <f t="shared" si="17"/>
        <v>22.518358581072643</v>
      </c>
      <c r="J183" s="58"/>
      <c r="L183" s="29"/>
    </row>
    <row r="184" spans="1:12" ht="15.75">
      <c r="A184" s="111"/>
      <c r="B184" s="111"/>
      <c r="C184" s="111"/>
      <c r="D184" s="111"/>
      <c r="E184" s="111"/>
      <c r="F184" s="111"/>
      <c r="G184" s="111"/>
      <c r="H184" s="111"/>
      <c r="I184" s="112"/>
      <c r="J184" s="58"/>
      <c r="L184" s="29"/>
    </row>
    <row r="185" spans="1:12" ht="15.75">
      <c r="A185" s="91"/>
      <c r="B185" s="92"/>
      <c r="C185" s="93" t="s">
        <v>475</v>
      </c>
      <c r="D185" s="71">
        <f>D186+D188+D198+D202+D215+D221+D223+D227+D231+D235+D238+D241+D247+D187</f>
        <v>16802.31757</v>
      </c>
      <c r="E185" s="71">
        <f>E186+E188+E198+E202+E215+E221+E223+E227+E231+E235+E238+E241+E247+E187</f>
        <v>116</v>
      </c>
      <c r="F185" s="71">
        <f>F186+F188+F198+F202+F215+F221+F223+F227+F231+F235+F238+F241+F247+F187</f>
        <v>3140.15863</v>
      </c>
      <c r="G185" s="13"/>
      <c r="H185" s="5">
        <f aca="true" t="shared" si="18" ref="H185:H190">F185-D185</f>
        <v>-13662.15894</v>
      </c>
      <c r="I185" s="6">
        <f aca="true" t="shared" si="19" ref="I185:I190">F185/D185*100</f>
        <v>18.688842279749863</v>
      </c>
      <c r="J185" s="58"/>
      <c r="L185" s="29"/>
    </row>
    <row r="186" spans="1:12" ht="30.75" customHeight="1">
      <c r="A186" s="94"/>
      <c r="B186" s="95" t="s">
        <v>237</v>
      </c>
      <c r="C186" s="96" t="s">
        <v>90</v>
      </c>
      <c r="D186" s="71">
        <v>468.01589</v>
      </c>
      <c r="E186" s="71"/>
      <c r="F186" s="71">
        <v>55.01589</v>
      </c>
      <c r="G186" s="13"/>
      <c r="H186" s="5">
        <f t="shared" si="18"/>
        <v>-413</v>
      </c>
      <c r="I186" s="6">
        <f t="shared" si="19"/>
        <v>11.755132929354172</v>
      </c>
      <c r="J186" s="58"/>
      <c r="L186" s="29"/>
    </row>
    <row r="187" spans="1:12" ht="63" customHeight="1">
      <c r="A187" s="94"/>
      <c r="B187" s="95" t="s">
        <v>230</v>
      </c>
      <c r="C187" s="96" t="s">
        <v>236</v>
      </c>
      <c r="D187" s="76">
        <v>60</v>
      </c>
      <c r="E187" s="76"/>
      <c r="F187" s="76">
        <v>0</v>
      </c>
      <c r="G187" s="101"/>
      <c r="H187" s="5">
        <f t="shared" si="18"/>
        <v>-60</v>
      </c>
      <c r="I187" s="73">
        <f t="shared" si="19"/>
        <v>0</v>
      </c>
      <c r="J187" s="58"/>
      <c r="L187" s="29"/>
    </row>
    <row r="188" spans="1:12" ht="34.5" customHeight="1">
      <c r="A188" s="97"/>
      <c r="B188" s="102" t="s">
        <v>298</v>
      </c>
      <c r="C188" s="98" t="s">
        <v>458</v>
      </c>
      <c r="D188" s="76">
        <f>D189+D191+D194+D192+D197+D190+D193+D195+D196</f>
        <v>1948.11188</v>
      </c>
      <c r="E188" s="76">
        <f>E189+E191+E194+E192+E197+E190+E193</f>
        <v>0</v>
      </c>
      <c r="F188" s="76">
        <f>F189+F191+F194+F192+F197+F190+F193+F195+F196</f>
        <v>531.97588</v>
      </c>
      <c r="G188" s="68"/>
      <c r="H188" s="68">
        <f t="shared" si="18"/>
        <v>-1416.136</v>
      </c>
      <c r="I188" s="73">
        <f t="shared" si="19"/>
        <v>27.30725506381081</v>
      </c>
      <c r="J188" s="58"/>
      <c r="L188" s="29"/>
    </row>
    <row r="189" spans="1:12" ht="31.5">
      <c r="A189" s="97"/>
      <c r="B189" s="75" t="s">
        <v>356</v>
      </c>
      <c r="C189" s="63" t="s">
        <v>284</v>
      </c>
      <c r="D189" s="76">
        <v>1255.37949</v>
      </c>
      <c r="E189" s="76"/>
      <c r="F189" s="76">
        <v>66.01349</v>
      </c>
      <c r="G189" s="68"/>
      <c r="H189" s="68">
        <f t="shared" si="18"/>
        <v>-1189.366</v>
      </c>
      <c r="I189" s="73">
        <f t="shared" si="19"/>
        <v>5.258448981032819</v>
      </c>
      <c r="J189" s="58"/>
      <c r="L189" s="29"/>
    </row>
    <row r="190" spans="1:12" ht="78" customHeight="1">
      <c r="A190" s="27"/>
      <c r="B190" s="75" t="s">
        <v>356</v>
      </c>
      <c r="C190" s="63" t="s">
        <v>82</v>
      </c>
      <c r="D190" s="76">
        <v>0.31044</v>
      </c>
      <c r="E190" s="76"/>
      <c r="F190" s="76">
        <v>0.31044</v>
      </c>
      <c r="G190" s="68"/>
      <c r="H190" s="68">
        <f t="shared" si="18"/>
        <v>0</v>
      </c>
      <c r="I190" s="73">
        <f t="shared" si="19"/>
        <v>100</v>
      </c>
      <c r="J190" s="58"/>
      <c r="L190" s="29"/>
    </row>
    <row r="191" spans="1:12" ht="0.75" customHeight="1" hidden="1">
      <c r="A191" s="27"/>
      <c r="B191" s="75" t="s">
        <v>356</v>
      </c>
      <c r="C191" s="63" t="s">
        <v>86</v>
      </c>
      <c r="D191" s="76"/>
      <c r="E191" s="76"/>
      <c r="F191" s="76"/>
      <c r="G191" s="68"/>
      <c r="H191" s="68"/>
      <c r="I191" s="73"/>
      <c r="J191" s="58"/>
      <c r="L191" s="29"/>
    </row>
    <row r="192" spans="1:12" ht="31.5">
      <c r="A192" s="27"/>
      <c r="B192" s="75" t="s">
        <v>358</v>
      </c>
      <c r="C192" s="63" t="s">
        <v>285</v>
      </c>
      <c r="D192" s="76">
        <v>582.28567</v>
      </c>
      <c r="E192" s="76"/>
      <c r="F192" s="76">
        <v>355.51567</v>
      </c>
      <c r="G192" s="68"/>
      <c r="H192" s="68">
        <f aca="true" t="shared" si="20" ref="H192:H231">F192-D192</f>
        <v>-226.76999999999998</v>
      </c>
      <c r="I192" s="73">
        <f aca="true" t="shared" si="21" ref="I192:I231">F192/D192*100</f>
        <v>61.05519821567994</v>
      </c>
      <c r="J192" s="58"/>
      <c r="L192" s="29"/>
    </row>
    <row r="193" spans="1:12" ht="78" customHeight="1">
      <c r="A193" s="27"/>
      <c r="B193" s="75" t="s">
        <v>358</v>
      </c>
      <c r="C193" s="63" t="s">
        <v>82</v>
      </c>
      <c r="D193" s="76">
        <v>79.77628</v>
      </c>
      <c r="E193" s="76"/>
      <c r="F193" s="76">
        <v>79.77628</v>
      </c>
      <c r="G193" s="68"/>
      <c r="H193" s="68">
        <f t="shared" si="20"/>
        <v>0</v>
      </c>
      <c r="I193" s="73">
        <f t="shared" si="21"/>
        <v>100</v>
      </c>
      <c r="J193" s="58"/>
      <c r="L193" s="29"/>
    </row>
    <row r="194" spans="1:12" ht="0.75" customHeight="1" hidden="1">
      <c r="A194" s="27"/>
      <c r="B194" s="75" t="s">
        <v>358</v>
      </c>
      <c r="C194" s="63" t="s">
        <v>86</v>
      </c>
      <c r="D194" s="76"/>
      <c r="E194" s="76"/>
      <c r="F194" s="76"/>
      <c r="G194" s="68"/>
      <c r="H194" s="68">
        <f t="shared" si="20"/>
        <v>0</v>
      </c>
      <c r="I194" s="73" t="e">
        <f t="shared" si="21"/>
        <v>#DIV/0!</v>
      </c>
      <c r="J194" s="58"/>
      <c r="L194" s="29"/>
    </row>
    <row r="195" spans="1:12" ht="15.75">
      <c r="A195" s="27"/>
      <c r="B195" s="75" t="s">
        <v>375</v>
      </c>
      <c r="C195" s="63" t="s">
        <v>46</v>
      </c>
      <c r="D195" s="76">
        <v>9.98</v>
      </c>
      <c r="E195" s="76"/>
      <c r="F195" s="76">
        <v>9.98</v>
      </c>
      <c r="G195" s="68"/>
      <c r="H195" s="69">
        <f>F195-D195</f>
        <v>0</v>
      </c>
      <c r="I195" s="70">
        <f>F195/D195*100</f>
        <v>100</v>
      </c>
      <c r="J195" s="58"/>
      <c r="L195" s="29"/>
    </row>
    <row r="196" spans="1:12" ht="31.5">
      <c r="A196" s="27"/>
      <c r="B196" s="75" t="s">
        <v>376</v>
      </c>
      <c r="C196" s="63" t="s">
        <v>92</v>
      </c>
      <c r="D196" s="76">
        <v>7.04</v>
      </c>
      <c r="E196" s="76"/>
      <c r="F196" s="76">
        <v>7.04</v>
      </c>
      <c r="G196" s="68"/>
      <c r="H196" s="69">
        <f>F196-D196</f>
        <v>0</v>
      </c>
      <c r="I196" s="70">
        <f>F196/D196*100</f>
        <v>100</v>
      </c>
      <c r="J196" s="58"/>
      <c r="L196" s="29"/>
    </row>
    <row r="197" spans="1:12" ht="47.25">
      <c r="A197" s="27"/>
      <c r="B197" s="66" t="s">
        <v>377</v>
      </c>
      <c r="C197" s="18" t="s">
        <v>286</v>
      </c>
      <c r="D197" s="67">
        <v>13.34</v>
      </c>
      <c r="E197" s="67"/>
      <c r="F197" s="67">
        <v>13.34</v>
      </c>
      <c r="G197" s="68"/>
      <c r="H197" s="69">
        <f t="shared" si="20"/>
        <v>0</v>
      </c>
      <c r="I197" s="70">
        <f t="shared" si="21"/>
        <v>100</v>
      </c>
      <c r="J197" s="58"/>
      <c r="L197" s="29"/>
    </row>
    <row r="198" spans="1:12" ht="15.75">
      <c r="A198" s="27"/>
      <c r="B198" s="75" t="s">
        <v>83</v>
      </c>
      <c r="C198" s="74" t="s">
        <v>283</v>
      </c>
      <c r="D198" s="76">
        <f>D199+D201+D200</f>
        <v>199.56033000000002</v>
      </c>
      <c r="E198" s="76">
        <f>E199+E201</f>
        <v>0</v>
      </c>
      <c r="F198" s="76">
        <f>F199+F201+F200</f>
        <v>199.56034</v>
      </c>
      <c r="G198" s="68"/>
      <c r="H198" s="68">
        <f t="shared" si="20"/>
        <v>9.999999974752427E-06</v>
      </c>
      <c r="I198" s="73">
        <f t="shared" si="21"/>
        <v>100.00000501101596</v>
      </c>
      <c r="J198" s="58"/>
      <c r="L198" s="29"/>
    </row>
    <row r="199" spans="1:12" ht="47.25">
      <c r="A199" s="27"/>
      <c r="B199" s="75" t="s">
        <v>365</v>
      </c>
      <c r="C199" s="74" t="s">
        <v>87</v>
      </c>
      <c r="D199" s="76">
        <v>63.32148</v>
      </c>
      <c r="E199" s="76"/>
      <c r="F199" s="76">
        <v>63.32149</v>
      </c>
      <c r="G199" s="68"/>
      <c r="H199" s="68">
        <f t="shared" si="20"/>
        <v>9.999999996068709E-06</v>
      </c>
      <c r="I199" s="73">
        <f t="shared" si="21"/>
        <v>100.00001579242937</v>
      </c>
      <c r="J199" s="58"/>
      <c r="L199" s="29"/>
    </row>
    <row r="200" spans="1:12" ht="63" hidden="1">
      <c r="A200" s="27"/>
      <c r="B200" s="75" t="s">
        <v>19</v>
      </c>
      <c r="C200" s="55" t="s">
        <v>238</v>
      </c>
      <c r="D200" s="76"/>
      <c r="E200" s="76"/>
      <c r="F200" s="76"/>
      <c r="G200" s="68"/>
      <c r="H200" s="68">
        <f>F200-D200</f>
        <v>0</v>
      </c>
      <c r="I200" s="73" t="e">
        <f>F200/D200*100</f>
        <v>#DIV/0!</v>
      </c>
      <c r="J200" s="58"/>
      <c r="L200" s="29"/>
    </row>
    <row r="201" spans="1:12" ht="78.75">
      <c r="A201" s="27"/>
      <c r="B201" s="75" t="s">
        <v>312</v>
      </c>
      <c r="C201" s="63" t="s">
        <v>82</v>
      </c>
      <c r="D201" s="76">
        <v>136.23885</v>
      </c>
      <c r="E201" s="76"/>
      <c r="F201" s="76">
        <v>136.23885</v>
      </c>
      <c r="G201" s="68"/>
      <c r="H201" s="68">
        <f t="shared" si="20"/>
        <v>0</v>
      </c>
      <c r="I201" s="73">
        <f t="shared" si="21"/>
        <v>100</v>
      </c>
      <c r="J201" s="58"/>
      <c r="L201" s="29"/>
    </row>
    <row r="202" spans="1:12" ht="15.75">
      <c r="A202" s="27"/>
      <c r="B202" s="64" t="s">
        <v>317</v>
      </c>
      <c r="C202" s="74" t="s">
        <v>287</v>
      </c>
      <c r="D202" s="71">
        <f>D203+D204+D205+D206+D207+D208+D209+D210+D211+D212+D213+D214</f>
        <v>3350.12917</v>
      </c>
      <c r="E202" s="71">
        <f>E203+E204+E205+E206+E208+E209+E210+E211+E212+E213</f>
        <v>0</v>
      </c>
      <c r="F202" s="71">
        <f>F203+F204+F205+F206+F208+F209+F210+F211+F212+F213+F207</f>
        <v>1042.20563</v>
      </c>
      <c r="G202" s="5"/>
      <c r="H202" s="68">
        <f t="shared" si="20"/>
        <v>-2307.9235400000002</v>
      </c>
      <c r="I202" s="73">
        <f t="shared" si="21"/>
        <v>31.10941629752144</v>
      </c>
      <c r="J202" s="58"/>
      <c r="L202" s="29"/>
    </row>
    <row r="203" spans="1:12" ht="63">
      <c r="A203" s="27"/>
      <c r="B203" s="48" t="s">
        <v>319</v>
      </c>
      <c r="C203" s="7" t="s">
        <v>50</v>
      </c>
      <c r="D203" s="61">
        <v>302.78</v>
      </c>
      <c r="E203" s="13"/>
      <c r="F203" s="4">
        <v>47.78</v>
      </c>
      <c r="G203" s="5"/>
      <c r="H203" s="69">
        <f t="shared" si="20"/>
        <v>-254.99999999999997</v>
      </c>
      <c r="I203" s="70">
        <f t="shared" si="21"/>
        <v>15.780434639011826</v>
      </c>
      <c r="J203" s="58"/>
      <c r="L203" s="29"/>
    </row>
    <row r="204" spans="1:12" ht="69" customHeight="1">
      <c r="A204" s="27"/>
      <c r="B204" s="64" t="s">
        <v>319</v>
      </c>
      <c r="C204" s="7" t="s">
        <v>49</v>
      </c>
      <c r="D204" s="71">
        <v>12.57387</v>
      </c>
      <c r="E204" s="13"/>
      <c r="F204" s="5">
        <v>12.57387</v>
      </c>
      <c r="G204" s="5"/>
      <c r="H204" s="68">
        <f t="shared" si="20"/>
        <v>0</v>
      </c>
      <c r="I204" s="73">
        <f t="shared" si="21"/>
        <v>100</v>
      </c>
      <c r="J204" s="58"/>
      <c r="L204" s="29"/>
    </row>
    <row r="205" spans="1:12" ht="78.75">
      <c r="A205" s="27"/>
      <c r="B205" s="64" t="s">
        <v>319</v>
      </c>
      <c r="C205" s="63" t="s">
        <v>82</v>
      </c>
      <c r="D205" s="71">
        <v>415.61172</v>
      </c>
      <c r="E205" s="13"/>
      <c r="F205" s="5">
        <v>415.61172</v>
      </c>
      <c r="G205" s="5"/>
      <c r="H205" s="68">
        <f t="shared" si="20"/>
        <v>0</v>
      </c>
      <c r="I205" s="73">
        <f t="shared" si="21"/>
        <v>100</v>
      </c>
      <c r="J205" s="58"/>
      <c r="L205" s="29"/>
    </row>
    <row r="206" spans="1:12" ht="47.25">
      <c r="A206" s="27"/>
      <c r="B206" s="64" t="s">
        <v>40</v>
      </c>
      <c r="C206" s="55" t="s">
        <v>75</v>
      </c>
      <c r="D206" s="71">
        <v>493</v>
      </c>
      <c r="E206" s="13"/>
      <c r="F206" s="5">
        <v>0</v>
      </c>
      <c r="G206" s="5"/>
      <c r="H206" s="68">
        <f t="shared" si="20"/>
        <v>-493</v>
      </c>
      <c r="I206" s="73">
        <f t="shared" si="21"/>
        <v>0</v>
      </c>
      <c r="J206" s="58"/>
      <c r="L206" s="29"/>
    </row>
    <row r="207" spans="1:12" ht="47.25">
      <c r="A207" s="27"/>
      <c r="B207" s="64" t="s">
        <v>40</v>
      </c>
      <c r="C207" s="55" t="s">
        <v>91</v>
      </c>
      <c r="D207" s="71">
        <v>427.99884</v>
      </c>
      <c r="E207" s="13"/>
      <c r="F207" s="5">
        <v>99.99884</v>
      </c>
      <c r="G207" s="5"/>
      <c r="H207" s="68">
        <f>F207-D207</f>
        <v>-328</v>
      </c>
      <c r="I207" s="73">
        <f>F207/D207*100</f>
        <v>23.36427827701589</v>
      </c>
      <c r="J207" s="58"/>
      <c r="L207" s="29"/>
    </row>
    <row r="208" spans="1:12" ht="78.75">
      <c r="A208" s="27"/>
      <c r="B208" s="64" t="s">
        <v>40</v>
      </c>
      <c r="C208" s="63" t="s">
        <v>82</v>
      </c>
      <c r="D208" s="71">
        <v>424.19606</v>
      </c>
      <c r="E208" s="13"/>
      <c r="F208" s="5">
        <v>337.23506</v>
      </c>
      <c r="G208" s="5"/>
      <c r="H208" s="68">
        <f t="shared" si="20"/>
        <v>-86.96100000000001</v>
      </c>
      <c r="I208" s="73">
        <f t="shared" si="21"/>
        <v>79.49980959276236</v>
      </c>
      <c r="J208" s="58"/>
      <c r="L208" s="29"/>
    </row>
    <row r="209" spans="1:12" ht="78.75">
      <c r="A209" s="27"/>
      <c r="B209" s="48" t="s">
        <v>15</v>
      </c>
      <c r="C209" s="55" t="s">
        <v>51</v>
      </c>
      <c r="D209" s="12">
        <v>800</v>
      </c>
      <c r="E209" s="13"/>
      <c r="F209" s="4">
        <v>0</v>
      </c>
      <c r="G209" s="5"/>
      <c r="H209" s="69">
        <f t="shared" si="20"/>
        <v>-800</v>
      </c>
      <c r="I209" s="70">
        <f t="shared" si="21"/>
        <v>0</v>
      </c>
      <c r="J209" s="58"/>
      <c r="L209" s="29"/>
    </row>
    <row r="210" spans="1:12" ht="24.75" customHeight="1" hidden="1">
      <c r="A210" s="27"/>
      <c r="B210" s="48" t="s">
        <v>15</v>
      </c>
      <c r="C210" s="55" t="s">
        <v>88</v>
      </c>
      <c r="D210" s="12">
        <v>0</v>
      </c>
      <c r="E210" s="13"/>
      <c r="F210" s="4">
        <v>0</v>
      </c>
      <c r="G210" s="5"/>
      <c r="H210" s="69">
        <f t="shared" si="20"/>
        <v>0</v>
      </c>
      <c r="I210" s="70" t="e">
        <f t="shared" si="21"/>
        <v>#DIV/0!</v>
      </c>
      <c r="J210" s="58"/>
      <c r="L210" s="29"/>
    </row>
    <row r="211" spans="1:12" ht="47.25">
      <c r="A211" s="27"/>
      <c r="B211" s="48" t="s">
        <v>321</v>
      </c>
      <c r="C211" s="7" t="s">
        <v>52</v>
      </c>
      <c r="D211" s="12">
        <v>294.4</v>
      </c>
      <c r="E211" s="13"/>
      <c r="F211" s="4">
        <v>0</v>
      </c>
      <c r="G211" s="5"/>
      <c r="H211" s="69">
        <f t="shared" si="20"/>
        <v>-294.4</v>
      </c>
      <c r="I211" s="70">
        <f t="shared" si="21"/>
        <v>0</v>
      </c>
      <c r="J211" s="58"/>
      <c r="L211" s="29"/>
    </row>
    <row r="212" spans="1:12" ht="78.75">
      <c r="A212" s="27"/>
      <c r="B212" s="64" t="s">
        <v>321</v>
      </c>
      <c r="C212" s="63" t="s">
        <v>82</v>
      </c>
      <c r="D212" s="71">
        <v>129.00614</v>
      </c>
      <c r="E212" s="13"/>
      <c r="F212" s="5">
        <v>129.00614</v>
      </c>
      <c r="G212" s="5"/>
      <c r="H212" s="68">
        <f t="shared" si="20"/>
        <v>0</v>
      </c>
      <c r="I212" s="73">
        <f t="shared" si="21"/>
        <v>100</v>
      </c>
      <c r="J212" s="58"/>
      <c r="L212" s="29"/>
    </row>
    <row r="213" spans="1:12" ht="78.75">
      <c r="A213" s="27"/>
      <c r="B213" s="64" t="s">
        <v>23</v>
      </c>
      <c r="C213" s="55" t="s">
        <v>84</v>
      </c>
      <c r="D213" s="71">
        <v>50.56254</v>
      </c>
      <c r="E213" s="13"/>
      <c r="F213" s="5">
        <v>0</v>
      </c>
      <c r="G213" s="5"/>
      <c r="H213" s="68">
        <f t="shared" si="20"/>
        <v>-50.56254</v>
      </c>
      <c r="I213" s="73">
        <f t="shared" si="21"/>
        <v>0</v>
      </c>
      <c r="J213" s="58"/>
      <c r="L213" s="29"/>
    </row>
    <row r="214" spans="1:12" ht="63" hidden="1">
      <c r="A214" s="27"/>
      <c r="B214" s="64" t="s">
        <v>93</v>
      </c>
      <c r="C214" s="55" t="s">
        <v>94</v>
      </c>
      <c r="D214" s="71">
        <v>0</v>
      </c>
      <c r="E214" s="13"/>
      <c r="F214" s="5">
        <v>0</v>
      </c>
      <c r="G214" s="5"/>
      <c r="H214" s="68">
        <f>F214-D214</f>
        <v>0</v>
      </c>
      <c r="I214" s="73" t="e">
        <f>F214/D214*100</f>
        <v>#DIV/0!</v>
      </c>
      <c r="J214" s="58"/>
      <c r="L214" s="29"/>
    </row>
    <row r="215" spans="1:12" ht="31.5" customHeight="1">
      <c r="A215" s="22" t="s">
        <v>328</v>
      </c>
      <c r="B215" s="72" t="s">
        <v>335</v>
      </c>
      <c r="C215" s="63" t="s">
        <v>242</v>
      </c>
      <c r="D215" s="71">
        <f>D216+D217+D220+D219+D218</f>
        <v>304.269</v>
      </c>
      <c r="E215" s="71">
        <f>E216+E217+E220+E219+E218</f>
        <v>0</v>
      </c>
      <c r="F215" s="71">
        <f>F216+F217+F220+F219+F218</f>
        <v>16.069</v>
      </c>
      <c r="G215" s="5" t="e">
        <f>F215-#REF!</f>
        <v>#REF!</v>
      </c>
      <c r="H215" s="68">
        <f t="shared" si="20"/>
        <v>-288.2</v>
      </c>
      <c r="I215" s="73">
        <f t="shared" si="21"/>
        <v>5.281182111881263</v>
      </c>
      <c r="J215" s="58"/>
      <c r="L215" s="29"/>
    </row>
    <row r="216" spans="1:12" ht="20.25" customHeight="1">
      <c r="A216" s="17" t="s">
        <v>343</v>
      </c>
      <c r="B216" s="48" t="s">
        <v>444</v>
      </c>
      <c r="C216" s="24" t="s">
        <v>243</v>
      </c>
      <c r="D216" s="12">
        <v>24.7</v>
      </c>
      <c r="E216" s="13"/>
      <c r="F216" s="4">
        <v>4.7</v>
      </c>
      <c r="G216" s="5"/>
      <c r="H216" s="69">
        <f t="shared" si="20"/>
        <v>-20</v>
      </c>
      <c r="I216" s="70">
        <f t="shared" si="21"/>
        <v>19.028340080971663</v>
      </c>
      <c r="J216" s="58"/>
      <c r="L216" s="29"/>
    </row>
    <row r="217" spans="1:12" ht="17.25" customHeight="1">
      <c r="A217" s="17" t="s">
        <v>359</v>
      </c>
      <c r="B217" s="48" t="s">
        <v>445</v>
      </c>
      <c r="C217" s="24" t="s">
        <v>244</v>
      </c>
      <c r="D217" s="12">
        <v>11.369</v>
      </c>
      <c r="E217" s="13"/>
      <c r="F217" s="4">
        <v>6.369</v>
      </c>
      <c r="G217" s="5"/>
      <c r="H217" s="69">
        <f t="shared" si="20"/>
        <v>-5</v>
      </c>
      <c r="I217" s="70">
        <f t="shared" si="21"/>
        <v>56.0207582021286</v>
      </c>
      <c r="J217" s="58"/>
      <c r="L217" s="29"/>
    </row>
    <row r="218" spans="1:12" ht="36" customHeight="1">
      <c r="A218" s="17"/>
      <c r="B218" s="48" t="s">
        <v>446</v>
      </c>
      <c r="C218" s="24" t="s">
        <v>205</v>
      </c>
      <c r="D218" s="12">
        <v>253.2</v>
      </c>
      <c r="E218" s="13"/>
      <c r="F218" s="4">
        <v>0</v>
      </c>
      <c r="G218" s="5"/>
      <c r="H218" s="69">
        <f t="shared" si="20"/>
        <v>-253.2</v>
      </c>
      <c r="I218" s="70">
        <f t="shared" si="21"/>
        <v>0</v>
      </c>
      <c r="J218" s="58"/>
      <c r="L218" s="29"/>
    </row>
    <row r="219" spans="1:12" ht="56.25" customHeight="1">
      <c r="A219" s="17"/>
      <c r="B219" s="48" t="s">
        <v>424</v>
      </c>
      <c r="C219" s="24" t="s">
        <v>245</v>
      </c>
      <c r="D219" s="12">
        <v>5</v>
      </c>
      <c r="E219" s="13"/>
      <c r="F219" s="4">
        <v>5</v>
      </c>
      <c r="G219" s="5"/>
      <c r="H219" s="69">
        <f>F219-D219</f>
        <v>0</v>
      </c>
      <c r="I219" s="70">
        <f>F219/D219*100</f>
        <v>100</v>
      </c>
      <c r="J219" s="58"/>
      <c r="L219" s="29"/>
    </row>
    <row r="220" spans="1:12" ht="31.5" customHeight="1">
      <c r="A220" s="17" t="s">
        <v>359</v>
      </c>
      <c r="B220" s="48" t="s">
        <v>424</v>
      </c>
      <c r="C220" s="24" t="s">
        <v>246</v>
      </c>
      <c r="D220" s="12">
        <v>10</v>
      </c>
      <c r="E220" s="13"/>
      <c r="F220" s="4">
        <v>0</v>
      </c>
      <c r="G220" s="5"/>
      <c r="H220" s="69">
        <f t="shared" si="20"/>
        <v>-10</v>
      </c>
      <c r="I220" s="70">
        <f t="shared" si="21"/>
        <v>0</v>
      </c>
      <c r="J220" s="58"/>
      <c r="L220" s="29"/>
    </row>
    <row r="221" spans="1:12" ht="15.75">
      <c r="A221" s="17"/>
      <c r="B221" s="64" t="s">
        <v>324</v>
      </c>
      <c r="C221" s="55" t="s">
        <v>247</v>
      </c>
      <c r="D221" s="71">
        <f>D222</f>
        <v>70</v>
      </c>
      <c r="E221" s="71">
        <f>E222</f>
        <v>0</v>
      </c>
      <c r="F221" s="71">
        <f>F222</f>
        <v>0</v>
      </c>
      <c r="G221" s="5"/>
      <c r="H221" s="68">
        <f t="shared" si="20"/>
        <v>-70</v>
      </c>
      <c r="I221" s="73">
        <f t="shared" si="21"/>
        <v>0</v>
      </c>
      <c r="J221" s="58"/>
      <c r="L221" s="29"/>
    </row>
    <row r="222" spans="1:12" ht="55.5" customHeight="1">
      <c r="A222" s="17"/>
      <c r="B222" s="64" t="s">
        <v>325</v>
      </c>
      <c r="C222" s="87" t="s">
        <v>248</v>
      </c>
      <c r="D222" s="71">
        <v>70</v>
      </c>
      <c r="E222" s="13"/>
      <c r="F222" s="5">
        <v>0</v>
      </c>
      <c r="G222" s="5"/>
      <c r="H222" s="68">
        <f t="shared" si="20"/>
        <v>-70</v>
      </c>
      <c r="I222" s="73">
        <f t="shared" si="21"/>
        <v>0</v>
      </c>
      <c r="J222" s="58"/>
      <c r="L222" s="29"/>
    </row>
    <row r="223" spans="1:12" ht="15.75">
      <c r="A223" s="17"/>
      <c r="B223" s="64" t="s">
        <v>180</v>
      </c>
      <c r="C223" s="55" t="s">
        <v>249</v>
      </c>
      <c r="D223" s="6">
        <f>D224+D225+D226</f>
        <v>2481.71986</v>
      </c>
      <c r="E223" s="6">
        <f>E224+E225+E226</f>
        <v>0</v>
      </c>
      <c r="F223" s="6">
        <f>F224+F225+F226</f>
        <v>318.2947</v>
      </c>
      <c r="G223" s="5">
        <f>F223-L216</f>
        <v>318.2947</v>
      </c>
      <c r="H223" s="68">
        <f t="shared" si="20"/>
        <v>-2163.4251600000002</v>
      </c>
      <c r="I223" s="73">
        <f t="shared" si="21"/>
        <v>12.825569280813184</v>
      </c>
      <c r="J223" s="58"/>
      <c r="L223" s="29"/>
    </row>
    <row r="224" spans="1:12" ht="57.75" customHeight="1">
      <c r="A224" s="17"/>
      <c r="B224" s="64" t="s">
        <v>421</v>
      </c>
      <c r="C224" s="55" t="s">
        <v>53</v>
      </c>
      <c r="D224" s="6">
        <f>521.714+1391.50586</f>
        <v>1913.2198600000002</v>
      </c>
      <c r="E224" s="6"/>
      <c r="F224" s="5">
        <f>68.214+225.29586</f>
        <v>293.50986</v>
      </c>
      <c r="G224" s="5"/>
      <c r="H224" s="68">
        <f t="shared" si="20"/>
        <v>-1619.71</v>
      </c>
      <c r="I224" s="73">
        <f t="shared" si="21"/>
        <v>15.341146416909973</v>
      </c>
      <c r="J224" s="58"/>
      <c r="L224" s="29"/>
    </row>
    <row r="225" spans="1:12" ht="53.25" customHeight="1">
      <c r="A225" s="17"/>
      <c r="B225" s="64" t="s">
        <v>421</v>
      </c>
      <c r="C225" s="55" t="s">
        <v>54</v>
      </c>
      <c r="D225" s="6">
        <f>330+108.5</f>
        <v>438.5</v>
      </c>
      <c r="E225" s="6"/>
      <c r="F225" s="5">
        <v>24.78484</v>
      </c>
      <c r="G225" s="5"/>
      <c r="H225" s="68">
        <f t="shared" si="20"/>
        <v>-413.71516</v>
      </c>
      <c r="I225" s="73">
        <f t="shared" si="21"/>
        <v>5.65218700114025</v>
      </c>
      <c r="J225" s="58"/>
      <c r="L225" s="29"/>
    </row>
    <row r="226" spans="1:12" ht="60" customHeight="1">
      <c r="A226" s="17"/>
      <c r="B226" s="64" t="s">
        <v>206</v>
      </c>
      <c r="C226" s="55" t="s">
        <v>53</v>
      </c>
      <c r="D226" s="6">
        <v>130</v>
      </c>
      <c r="E226" s="6"/>
      <c r="F226" s="5">
        <v>0</v>
      </c>
      <c r="G226" s="5"/>
      <c r="H226" s="68">
        <f>F226-D226</f>
        <v>-130</v>
      </c>
      <c r="I226" s="73">
        <f>F226/D226*100</f>
        <v>0</v>
      </c>
      <c r="J226" s="58"/>
      <c r="L226" s="29"/>
    </row>
    <row r="227" spans="1:12" ht="60" customHeight="1">
      <c r="A227" s="17"/>
      <c r="B227" s="64" t="s">
        <v>334</v>
      </c>
      <c r="C227" s="55" t="s">
        <v>55</v>
      </c>
      <c r="D227" s="6">
        <f>D228+D229+D230</f>
        <v>2223.6347000000005</v>
      </c>
      <c r="E227" s="6">
        <f>E228+E229+E230</f>
        <v>106</v>
      </c>
      <c r="F227" s="6">
        <f>F228+F229+F230</f>
        <v>371.43469999999996</v>
      </c>
      <c r="G227" s="5"/>
      <c r="H227" s="68">
        <f t="shared" si="20"/>
        <v>-1852.2000000000005</v>
      </c>
      <c r="I227" s="73">
        <f t="shared" si="21"/>
        <v>16.703944222493014</v>
      </c>
      <c r="J227" s="58"/>
      <c r="L227" s="29"/>
    </row>
    <row r="228" spans="1:12" ht="54.75" customHeight="1">
      <c r="A228" s="17"/>
      <c r="B228" s="64" t="s">
        <v>334</v>
      </c>
      <c r="C228" s="55" t="s">
        <v>62</v>
      </c>
      <c r="D228" s="6">
        <v>1586.631</v>
      </c>
      <c r="E228" s="6"/>
      <c r="F228" s="5">
        <v>343.431</v>
      </c>
      <c r="G228" s="5"/>
      <c r="H228" s="68">
        <f t="shared" si="20"/>
        <v>-1243.2</v>
      </c>
      <c r="I228" s="73">
        <f t="shared" si="21"/>
        <v>21.645297488830103</v>
      </c>
      <c r="J228" s="58"/>
      <c r="L228" s="29"/>
    </row>
    <row r="229" spans="1:12" ht="47.25">
      <c r="A229" s="17"/>
      <c r="B229" s="64" t="s">
        <v>334</v>
      </c>
      <c r="C229" s="55" t="s">
        <v>63</v>
      </c>
      <c r="D229" s="6">
        <v>546</v>
      </c>
      <c r="E229" s="6"/>
      <c r="F229" s="5">
        <v>0</v>
      </c>
      <c r="G229" s="5"/>
      <c r="H229" s="68">
        <f t="shared" si="20"/>
        <v>-546</v>
      </c>
      <c r="I229" s="73">
        <f t="shared" si="21"/>
        <v>0</v>
      </c>
      <c r="J229" s="58"/>
      <c r="L229" s="29"/>
    </row>
    <row r="230" spans="1:12" ht="71.25" customHeight="1">
      <c r="A230" s="17"/>
      <c r="B230" s="64" t="s">
        <v>334</v>
      </c>
      <c r="C230" s="55" t="s">
        <v>36</v>
      </c>
      <c r="D230" s="6">
        <v>91.0037</v>
      </c>
      <c r="E230" s="6">
        <v>106</v>
      </c>
      <c r="F230" s="5">
        <v>28.0037</v>
      </c>
      <c r="G230" s="5" t="e">
        <f>F230-#REF!</f>
        <v>#REF!</v>
      </c>
      <c r="H230" s="68">
        <f t="shared" si="20"/>
        <v>-63</v>
      </c>
      <c r="I230" s="73">
        <f t="shared" si="21"/>
        <v>30.772045532214626</v>
      </c>
      <c r="J230" s="58"/>
      <c r="L230" s="29"/>
    </row>
    <row r="231" spans="1:12" ht="31.5">
      <c r="A231" s="17"/>
      <c r="B231" s="64" t="s">
        <v>43</v>
      </c>
      <c r="C231" s="63" t="s">
        <v>197</v>
      </c>
      <c r="D231" s="6">
        <f>D232+D233+D234</f>
        <v>568.13947</v>
      </c>
      <c r="E231" s="6">
        <f>E232+E233+E234</f>
        <v>0</v>
      </c>
      <c r="F231" s="6">
        <f>F232+F233+F234</f>
        <v>407.13946999999996</v>
      </c>
      <c r="G231" s="5"/>
      <c r="H231" s="68">
        <f t="shared" si="20"/>
        <v>-161</v>
      </c>
      <c r="I231" s="73">
        <f t="shared" si="21"/>
        <v>71.66188788115707</v>
      </c>
      <c r="J231" s="58"/>
      <c r="L231" s="29"/>
    </row>
    <row r="232" spans="1:12" ht="88.5" customHeight="1">
      <c r="A232" s="17"/>
      <c r="B232" s="48" t="s">
        <v>435</v>
      </c>
      <c r="C232" s="7" t="s">
        <v>67</v>
      </c>
      <c r="D232" s="1">
        <v>247.47</v>
      </c>
      <c r="E232" s="6"/>
      <c r="F232" s="4">
        <v>129.47</v>
      </c>
      <c r="G232" s="5"/>
      <c r="H232" s="69">
        <f aca="true" t="shared" si="22" ref="H232:H267">F232-D232</f>
        <v>-118</v>
      </c>
      <c r="I232" s="70">
        <f aca="true" t="shared" si="23" ref="I232:I267">F232/D232*100</f>
        <v>52.31745262051965</v>
      </c>
      <c r="J232" s="58"/>
      <c r="L232" s="29"/>
    </row>
    <row r="233" spans="1:12" ht="47.25" hidden="1">
      <c r="A233" s="17"/>
      <c r="B233" s="48" t="s">
        <v>435</v>
      </c>
      <c r="C233" s="63" t="s">
        <v>69</v>
      </c>
      <c r="D233" s="1">
        <v>0</v>
      </c>
      <c r="E233" s="6"/>
      <c r="F233" s="4">
        <v>0</v>
      </c>
      <c r="G233" s="5"/>
      <c r="H233" s="69">
        <f t="shared" si="22"/>
        <v>0</v>
      </c>
      <c r="I233" s="70" t="e">
        <f t="shared" si="23"/>
        <v>#DIV/0!</v>
      </c>
      <c r="J233" s="58"/>
      <c r="L233" s="29"/>
    </row>
    <row r="234" spans="1:12" ht="47.25">
      <c r="A234" s="17"/>
      <c r="B234" s="48" t="s">
        <v>435</v>
      </c>
      <c r="C234" s="65" t="s">
        <v>73</v>
      </c>
      <c r="D234" s="1">
        <v>320.66947</v>
      </c>
      <c r="E234" s="6"/>
      <c r="F234" s="4">
        <v>277.66947</v>
      </c>
      <c r="G234" s="5"/>
      <c r="H234" s="69">
        <f t="shared" si="22"/>
        <v>-43</v>
      </c>
      <c r="I234" s="70">
        <f t="shared" si="23"/>
        <v>86.59055381854718</v>
      </c>
      <c r="J234" s="58"/>
      <c r="L234" s="29"/>
    </row>
    <row r="235" spans="1:12" ht="31.5">
      <c r="A235" s="17"/>
      <c r="B235" s="72" t="s">
        <v>465</v>
      </c>
      <c r="C235" s="55" t="s">
        <v>250</v>
      </c>
      <c r="D235" s="6">
        <f>D236+D237</f>
        <v>39</v>
      </c>
      <c r="E235" s="6">
        <f>E236+E237</f>
        <v>0</v>
      </c>
      <c r="F235" s="6">
        <f>F236+F237</f>
        <v>0</v>
      </c>
      <c r="G235" s="5"/>
      <c r="H235" s="68">
        <f t="shared" si="22"/>
        <v>-39</v>
      </c>
      <c r="I235" s="73">
        <f t="shared" si="23"/>
        <v>0</v>
      </c>
      <c r="J235" s="58"/>
      <c r="L235" s="29"/>
    </row>
    <row r="236" spans="1:12" ht="90" customHeight="1">
      <c r="A236" s="17"/>
      <c r="B236" s="72" t="s">
        <v>347</v>
      </c>
      <c r="C236" s="55" t="s">
        <v>252</v>
      </c>
      <c r="D236" s="6">
        <v>35.5</v>
      </c>
      <c r="E236" s="6"/>
      <c r="F236" s="6">
        <v>0</v>
      </c>
      <c r="G236" s="5"/>
      <c r="H236" s="68">
        <f t="shared" si="22"/>
        <v>-35.5</v>
      </c>
      <c r="I236" s="73">
        <f t="shared" si="23"/>
        <v>0</v>
      </c>
      <c r="J236" s="58"/>
      <c r="L236" s="29"/>
    </row>
    <row r="237" spans="1:12" ht="31.5">
      <c r="A237" s="17"/>
      <c r="B237" s="72" t="s">
        <v>339</v>
      </c>
      <c r="C237" s="55" t="s">
        <v>189</v>
      </c>
      <c r="D237" s="6">
        <v>3.5</v>
      </c>
      <c r="E237" s="6"/>
      <c r="F237" s="6">
        <v>0</v>
      </c>
      <c r="G237" s="5"/>
      <c r="H237" s="68">
        <f t="shared" si="22"/>
        <v>-3.5</v>
      </c>
      <c r="I237" s="73">
        <f t="shared" si="23"/>
        <v>0</v>
      </c>
      <c r="J237" s="58"/>
      <c r="L237" s="29"/>
    </row>
    <row r="238" spans="1:12" ht="31.5">
      <c r="A238" s="17"/>
      <c r="B238" s="72" t="s">
        <v>71</v>
      </c>
      <c r="C238" s="55" t="s">
        <v>253</v>
      </c>
      <c r="D238" s="6">
        <f>D239+D240</f>
        <v>220.03186</v>
      </c>
      <c r="E238" s="6">
        <f>E239+E240</f>
        <v>10</v>
      </c>
      <c r="F238" s="6">
        <f>F239+F240</f>
        <v>56.45761</v>
      </c>
      <c r="G238" s="5"/>
      <c r="H238" s="68">
        <f t="shared" si="22"/>
        <v>-163.57425</v>
      </c>
      <c r="I238" s="73">
        <f t="shared" si="23"/>
        <v>25.6588341342931</v>
      </c>
      <c r="J238" s="58"/>
      <c r="L238" s="29"/>
    </row>
    <row r="239" spans="1:12" ht="69.75" customHeight="1">
      <c r="A239" s="17"/>
      <c r="B239" s="49" t="s">
        <v>438</v>
      </c>
      <c r="C239" s="7" t="s">
        <v>37</v>
      </c>
      <c r="D239" s="1">
        <v>220.03186</v>
      </c>
      <c r="E239" s="6">
        <v>10</v>
      </c>
      <c r="F239" s="1">
        <v>56.45761</v>
      </c>
      <c r="G239" s="5" t="e">
        <f>F239-#REF!</f>
        <v>#REF!</v>
      </c>
      <c r="H239" s="69">
        <f t="shared" si="22"/>
        <v>-163.57425</v>
      </c>
      <c r="I239" s="70">
        <f t="shared" si="23"/>
        <v>25.6588341342931</v>
      </c>
      <c r="J239" s="58"/>
      <c r="L239" s="29"/>
    </row>
    <row r="240" spans="1:12" ht="63" hidden="1">
      <c r="A240" s="17"/>
      <c r="B240" s="49" t="s">
        <v>70</v>
      </c>
      <c r="C240" s="7" t="s">
        <v>37</v>
      </c>
      <c r="D240" s="1">
        <v>0</v>
      </c>
      <c r="E240" s="6"/>
      <c r="F240" s="1">
        <v>0</v>
      </c>
      <c r="G240" s="5"/>
      <c r="H240" s="69">
        <f t="shared" si="22"/>
        <v>0</v>
      </c>
      <c r="I240" s="70" t="e">
        <f t="shared" si="23"/>
        <v>#DIV/0!</v>
      </c>
      <c r="J240" s="58"/>
      <c r="L240" s="29"/>
    </row>
    <row r="241" spans="1:12" ht="15.75">
      <c r="A241" s="17"/>
      <c r="B241" s="72" t="s">
        <v>479</v>
      </c>
      <c r="C241" s="55" t="s">
        <v>254</v>
      </c>
      <c r="D241" s="6">
        <f>D242+D246+D243+D245+D244</f>
        <v>174.90541</v>
      </c>
      <c r="E241" s="6">
        <f>E242+E246+E243+E245+E244</f>
        <v>0</v>
      </c>
      <c r="F241" s="6">
        <f>F242+F246+F243+F245+F244</f>
        <v>142.00540999999998</v>
      </c>
      <c r="G241" s="5"/>
      <c r="H241" s="68">
        <f t="shared" si="22"/>
        <v>-32.900000000000006</v>
      </c>
      <c r="I241" s="73">
        <f t="shared" si="23"/>
        <v>81.18983283593114</v>
      </c>
      <c r="J241" s="58"/>
      <c r="L241" s="29"/>
    </row>
    <row r="242" spans="1:12" ht="55.5" customHeight="1">
      <c r="A242" s="17"/>
      <c r="B242" s="49" t="s">
        <v>479</v>
      </c>
      <c r="C242" s="7" t="s">
        <v>255</v>
      </c>
      <c r="D242" s="1">
        <v>130.05701</v>
      </c>
      <c r="E242" s="6"/>
      <c r="F242" s="1">
        <v>130.05701</v>
      </c>
      <c r="G242" s="5"/>
      <c r="H242" s="69">
        <f t="shared" si="22"/>
        <v>0</v>
      </c>
      <c r="I242" s="70">
        <f t="shared" si="23"/>
        <v>100</v>
      </c>
      <c r="J242" s="58"/>
      <c r="L242" s="29"/>
    </row>
    <row r="243" spans="1:12" ht="43.5" customHeight="1">
      <c r="A243" s="17"/>
      <c r="B243" s="49" t="s">
        <v>479</v>
      </c>
      <c r="C243" s="7" t="s">
        <v>256</v>
      </c>
      <c r="D243" s="1">
        <v>11.9484</v>
      </c>
      <c r="E243" s="6"/>
      <c r="F243" s="1">
        <v>11.9484</v>
      </c>
      <c r="G243" s="5"/>
      <c r="H243" s="69">
        <f t="shared" si="22"/>
        <v>0</v>
      </c>
      <c r="I243" s="70">
        <f t="shared" si="23"/>
        <v>100</v>
      </c>
      <c r="J243" s="58"/>
      <c r="L243" s="29"/>
    </row>
    <row r="244" spans="1:12" ht="31.5">
      <c r="A244" s="17"/>
      <c r="B244" s="49" t="s">
        <v>479</v>
      </c>
      <c r="C244" s="7" t="s">
        <v>190</v>
      </c>
      <c r="D244" s="1">
        <v>32.9</v>
      </c>
      <c r="E244" s="6"/>
      <c r="F244" s="1">
        <v>0</v>
      </c>
      <c r="G244" s="5"/>
      <c r="H244" s="69">
        <f t="shared" si="22"/>
        <v>-32.9</v>
      </c>
      <c r="I244" s="70">
        <f t="shared" si="23"/>
        <v>0</v>
      </c>
      <c r="J244" s="58"/>
      <c r="L244" s="29"/>
    </row>
    <row r="245" spans="1:12" ht="31.5" hidden="1">
      <c r="A245" s="17"/>
      <c r="B245" s="49" t="s">
        <v>479</v>
      </c>
      <c r="C245" s="7" t="s">
        <v>257</v>
      </c>
      <c r="D245" s="1"/>
      <c r="E245" s="6"/>
      <c r="F245" s="1"/>
      <c r="G245" s="5"/>
      <c r="H245" s="69">
        <f t="shared" si="22"/>
        <v>0</v>
      </c>
      <c r="I245" s="70" t="e">
        <f t="shared" si="23"/>
        <v>#DIV/0!</v>
      </c>
      <c r="J245" s="58"/>
      <c r="L245" s="29"/>
    </row>
    <row r="246" spans="1:12" ht="31.5" hidden="1">
      <c r="A246" s="17"/>
      <c r="B246" s="49" t="s">
        <v>479</v>
      </c>
      <c r="C246" s="7" t="s">
        <v>258</v>
      </c>
      <c r="D246" s="1"/>
      <c r="E246" s="6"/>
      <c r="F246" s="1"/>
      <c r="G246" s="5"/>
      <c r="H246" s="69">
        <f t="shared" si="22"/>
        <v>0</v>
      </c>
      <c r="I246" s="70" t="e">
        <f t="shared" si="23"/>
        <v>#DIV/0!</v>
      </c>
      <c r="J246" s="58"/>
      <c r="L246" s="29"/>
    </row>
    <row r="247" spans="1:12" ht="15.75">
      <c r="A247" s="17"/>
      <c r="B247" s="72" t="s">
        <v>466</v>
      </c>
      <c r="C247" s="55" t="s">
        <v>259</v>
      </c>
      <c r="D247" s="6">
        <f>D248+D253+D249+D250+D251+D252</f>
        <v>4694.8</v>
      </c>
      <c r="E247" s="6">
        <f>E248+E253+E249+E250+E251+E252</f>
        <v>0</v>
      </c>
      <c r="F247" s="6">
        <f>F248+F253+F249+F250+F251+F252</f>
        <v>0</v>
      </c>
      <c r="G247" s="5"/>
      <c r="H247" s="68">
        <f t="shared" si="22"/>
        <v>-4694.8</v>
      </c>
      <c r="I247" s="73">
        <f t="shared" si="23"/>
        <v>0</v>
      </c>
      <c r="J247" s="58"/>
      <c r="L247" s="29"/>
    </row>
    <row r="248" spans="1:12" ht="72" customHeight="1">
      <c r="A248" s="17" t="s">
        <v>318</v>
      </c>
      <c r="B248" s="48" t="s">
        <v>467</v>
      </c>
      <c r="C248" s="3" t="s">
        <v>191</v>
      </c>
      <c r="D248" s="12">
        <v>250</v>
      </c>
      <c r="E248" s="13"/>
      <c r="F248" s="4">
        <v>0</v>
      </c>
      <c r="G248" s="5"/>
      <c r="H248" s="69">
        <f t="shared" si="22"/>
        <v>-250</v>
      </c>
      <c r="I248" s="70">
        <f t="shared" si="23"/>
        <v>0</v>
      </c>
      <c r="J248" s="58"/>
      <c r="L248" s="29"/>
    </row>
    <row r="249" spans="1:12" ht="83.25" customHeight="1" hidden="1">
      <c r="A249" s="22"/>
      <c r="B249" s="49" t="s">
        <v>467</v>
      </c>
      <c r="C249" s="3" t="s">
        <v>260</v>
      </c>
      <c r="D249" s="1"/>
      <c r="E249" s="6"/>
      <c r="F249" s="1"/>
      <c r="G249" s="5"/>
      <c r="H249" s="69">
        <f t="shared" si="22"/>
        <v>0</v>
      </c>
      <c r="I249" s="70" t="e">
        <f t="shared" si="23"/>
        <v>#DIV/0!</v>
      </c>
      <c r="J249" s="2"/>
      <c r="L249" s="40"/>
    </row>
    <row r="250" spans="1:12" ht="95.25" customHeight="1" hidden="1">
      <c r="A250" s="22"/>
      <c r="B250" s="49" t="s">
        <v>467</v>
      </c>
      <c r="C250" s="55" t="s">
        <v>261</v>
      </c>
      <c r="D250" s="1"/>
      <c r="E250" s="6"/>
      <c r="F250" s="1"/>
      <c r="G250" s="5"/>
      <c r="H250" s="69">
        <f t="shared" si="22"/>
        <v>0</v>
      </c>
      <c r="I250" s="70" t="e">
        <f t="shared" si="23"/>
        <v>#DIV/0!</v>
      </c>
      <c r="J250" s="2"/>
      <c r="L250" s="40"/>
    </row>
    <row r="251" spans="1:12" ht="81" customHeight="1" hidden="1">
      <c r="A251" s="22"/>
      <c r="B251" s="49" t="s">
        <v>467</v>
      </c>
      <c r="C251" s="55" t="s">
        <v>262</v>
      </c>
      <c r="D251" s="1"/>
      <c r="E251" s="6"/>
      <c r="F251" s="1"/>
      <c r="G251" s="5"/>
      <c r="H251" s="69">
        <f t="shared" si="22"/>
        <v>0</v>
      </c>
      <c r="I251" s="70" t="e">
        <f t="shared" si="23"/>
        <v>#DIV/0!</v>
      </c>
      <c r="J251" s="2"/>
      <c r="L251" s="40"/>
    </row>
    <row r="252" spans="1:12" ht="66" customHeight="1" hidden="1">
      <c r="A252" s="22"/>
      <c r="B252" s="49" t="s">
        <v>467</v>
      </c>
      <c r="C252" s="47" t="s">
        <v>263</v>
      </c>
      <c r="D252" s="1"/>
      <c r="E252" s="6"/>
      <c r="F252" s="1"/>
      <c r="G252" s="5"/>
      <c r="H252" s="69">
        <f t="shared" si="22"/>
        <v>0</v>
      </c>
      <c r="I252" s="70" t="e">
        <f t="shared" si="23"/>
        <v>#DIV/0!</v>
      </c>
      <c r="J252" s="2"/>
      <c r="L252" s="40"/>
    </row>
    <row r="253" spans="1:12" ht="77.25" customHeight="1">
      <c r="A253" s="22" t="s">
        <v>308</v>
      </c>
      <c r="B253" s="72" t="s">
        <v>72</v>
      </c>
      <c r="C253" s="74" t="s">
        <v>74</v>
      </c>
      <c r="D253" s="6">
        <v>4444.8</v>
      </c>
      <c r="E253" s="6"/>
      <c r="F253" s="6">
        <v>0</v>
      </c>
      <c r="G253" s="5"/>
      <c r="H253" s="68">
        <f t="shared" si="22"/>
        <v>-4444.8</v>
      </c>
      <c r="I253" s="73">
        <f t="shared" si="23"/>
        <v>0</v>
      </c>
      <c r="J253" s="2"/>
      <c r="L253" s="40"/>
    </row>
    <row r="254" spans="1:12" ht="35.25" customHeight="1">
      <c r="A254" s="14"/>
      <c r="B254" s="91"/>
      <c r="C254" s="80" t="s">
        <v>474</v>
      </c>
      <c r="D254" s="71">
        <f>D256+D258+D264+D267+D271</f>
        <v>3990.323950000001</v>
      </c>
      <c r="E254" s="71">
        <f>E256+E258+E264+E267</f>
        <v>19</v>
      </c>
      <c r="F254" s="71">
        <f>F256+F258+F264+F267+F271</f>
        <v>1006.31641</v>
      </c>
      <c r="G254" s="71" t="e">
        <f>#REF!+#REF!+#REF!+#REF!+#REF!+#REF!+#REF!+#REF!</f>
        <v>#REF!</v>
      </c>
      <c r="H254" s="68">
        <f t="shared" si="22"/>
        <v>-2984.007540000001</v>
      </c>
      <c r="I254" s="73">
        <f t="shared" si="23"/>
        <v>25.218915120913927</v>
      </c>
      <c r="J254" s="2"/>
      <c r="L254" s="40"/>
    </row>
    <row r="255" spans="1:12" ht="15.75" hidden="1">
      <c r="A255" s="27" t="s">
        <v>295</v>
      </c>
      <c r="B255" s="64" t="s">
        <v>296</v>
      </c>
      <c r="C255" s="80" t="s">
        <v>392</v>
      </c>
      <c r="D255" s="71"/>
      <c r="E255" s="71"/>
      <c r="F255" s="71"/>
      <c r="G255" s="71"/>
      <c r="H255" s="68">
        <f t="shared" si="22"/>
        <v>0</v>
      </c>
      <c r="I255" s="73" t="e">
        <f t="shared" si="23"/>
        <v>#DIV/0!</v>
      </c>
      <c r="J255" s="2"/>
      <c r="L255" s="40"/>
    </row>
    <row r="256" spans="1:12" ht="20.25" customHeight="1">
      <c r="A256" s="27" t="s">
        <v>295</v>
      </c>
      <c r="B256" s="64" t="s">
        <v>296</v>
      </c>
      <c r="C256" s="74" t="s">
        <v>38</v>
      </c>
      <c r="D256" s="71">
        <v>75.8022</v>
      </c>
      <c r="E256" s="71"/>
      <c r="F256" s="71">
        <v>40.3022</v>
      </c>
      <c r="G256" s="71"/>
      <c r="H256" s="68">
        <f t="shared" si="22"/>
        <v>-35.5</v>
      </c>
      <c r="I256" s="73">
        <f t="shared" si="23"/>
        <v>53.16758616504534</v>
      </c>
      <c r="J256" s="2"/>
      <c r="L256" s="40"/>
    </row>
    <row r="257" spans="1:12" ht="13.5" customHeight="1" hidden="1">
      <c r="A257" s="27" t="s">
        <v>295</v>
      </c>
      <c r="B257" s="64" t="s">
        <v>296</v>
      </c>
      <c r="C257" s="55" t="s">
        <v>473</v>
      </c>
      <c r="D257" s="71">
        <v>0</v>
      </c>
      <c r="E257" s="71"/>
      <c r="F257" s="71"/>
      <c r="G257" s="71"/>
      <c r="H257" s="68">
        <f t="shared" si="22"/>
        <v>0</v>
      </c>
      <c r="I257" s="73" t="e">
        <f t="shared" si="23"/>
        <v>#DIV/0!</v>
      </c>
      <c r="J257" s="2"/>
      <c r="L257" s="40"/>
    </row>
    <row r="258" spans="1:12" ht="15.75">
      <c r="A258" s="17" t="s">
        <v>297</v>
      </c>
      <c r="B258" s="64" t="s">
        <v>298</v>
      </c>
      <c r="C258" s="74" t="s">
        <v>264</v>
      </c>
      <c r="D258" s="71">
        <f>D259+D260+D261+D262+D263</f>
        <v>3734.1217500000007</v>
      </c>
      <c r="E258" s="71">
        <f>E259+E260+E261+E262+E263</f>
        <v>0</v>
      </c>
      <c r="F258" s="71">
        <f>F259+F260+F261+F262+F263</f>
        <v>921.76916</v>
      </c>
      <c r="G258" s="71"/>
      <c r="H258" s="68">
        <f t="shared" si="22"/>
        <v>-2812.3525900000004</v>
      </c>
      <c r="I258" s="73">
        <f t="shared" si="23"/>
        <v>24.685032297085648</v>
      </c>
      <c r="J258" s="2"/>
      <c r="L258" s="40"/>
    </row>
    <row r="259" spans="1:12" ht="15.75">
      <c r="A259" s="17"/>
      <c r="B259" s="64" t="s">
        <v>356</v>
      </c>
      <c r="C259" s="63" t="s">
        <v>45</v>
      </c>
      <c r="D259" s="71">
        <v>2108.64465</v>
      </c>
      <c r="E259" s="71"/>
      <c r="F259" s="71">
        <v>423.74548</v>
      </c>
      <c r="G259" s="71"/>
      <c r="H259" s="68">
        <f t="shared" si="22"/>
        <v>-1684.8991700000001</v>
      </c>
      <c r="I259" s="73">
        <f t="shared" si="23"/>
        <v>20.095632519210856</v>
      </c>
      <c r="J259" s="2"/>
      <c r="L259" s="40"/>
    </row>
    <row r="260" spans="1:12" ht="15.75">
      <c r="A260" s="17"/>
      <c r="B260" s="64" t="s">
        <v>358</v>
      </c>
      <c r="C260" s="63" t="s">
        <v>44</v>
      </c>
      <c r="D260" s="71">
        <v>1604.1391</v>
      </c>
      <c r="E260" s="71"/>
      <c r="F260" s="71">
        <v>489.44668</v>
      </c>
      <c r="G260" s="71"/>
      <c r="H260" s="68">
        <f t="shared" si="22"/>
        <v>-1114.69242</v>
      </c>
      <c r="I260" s="73">
        <f t="shared" si="23"/>
        <v>30.51148619218869</v>
      </c>
      <c r="J260" s="2"/>
      <c r="L260" s="40"/>
    </row>
    <row r="261" spans="1:12" ht="15.75">
      <c r="A261" s="17"/>
      <c r="B261" s="64" t="s">
        <v>360</v>
      </c>
      <c r="C261" s="74" t="s">
        <v>395</v>
      </c>
      <c r="D261" s="71">
        <v>14.684</v>
      </c>
      <c r="E261" s="71"/>
      <c r="F261" s="71">
        <v>6.938</v>
      </c>
      <c r="G261" s="71"/>
      <c r="H261" s="68">
        <f t="shared" si="22"/>
        <v>-7.7459999999999996</v>
      </c>
      <c r="I261" s="73">
        <f t="shared" si="23"/>
        <v>47.24870607463906</v>
      </c>
      <c r="J261" s="2"/>
      <c r="L261" s="40"/>
    </row>
    <row r="262" spans="1:12" ht="43.5" customHeight="1">
      <c r="A262" s="17"/>
      <c r="B262" s="64" t="s">
        <v>377</v>
      </c>
      <c r="C262" s="74" t="s">
        <v>398</v>
      </c>
      <c r="D262" s="71">
        <v>6.654</v>
      </c>
      <c r="E262" s="71"/>
      <c r="F262" s="71">
        <v>1.639</v>
      </c>
      <c r="G262" s="71"/>
      <c r="H262" s="68">
        <f t="shared" si="22"/>
        <v>-5.015</v>
      </c>
      <c r="I262" s="73">
        <f t="shared" si="23"/>
        <v>24.631800420799518</v>
      </c>
      <c r="J262" s="2"/>
      <c r="L262" s="40"/>
    </row>
    <row r="263" spans="1:12" ht="20.25" customHeight="1" hidden="1">
      <c r="A263" s="17"/>
      <c r="B263" s="64" t="s">
        <v>372</v>
      </c>
      <c r="C263" s="74" t="s">
        <v>399</v>
      </c>
      <c r="D263" s="71"/>
      <c r="E263" s="71"/>
      <c r="F263" s="71"/>
      <c r="G263" s="71"/>
      <c r="H263" s="68">
        <f t="shared" si="22"/>
        <v>0</v>
      </c>
      <c r="I263" s="73" t="e">
        <f t="shared" si="23"/>
        <v>#DIV/0!</v>
      </c>
      <c r="J263" s="2"/>
      <c r="L263" s="40"/>
    </row>
    <row r="264" spans="1:12" ht="15.75">
      <c r="A264" s="17"/>
      <c r="B264" s="64" t="s">
        <v>300</v>
      </c>
      <c r="C264" s="74" t="s">
        <v>265</v>
      </c>
      <c r="D264" s="71">
        <f>D265+D266</f>
        <v>45.3</v>
      </c>
      <c r="E264" s="71">
        <f>E265+E266</f>
        <v>19</v>
      </c>
      <c r="F264" s="71">
        <f>F265+F266</f>
        <v>4.9342</v>
      </c>
      <c r="G264" s="71"/>
      <c r="H264" s="68">
        <f t="shared" si="22"/>
        <v>-40.3658</v>
      </c>
      <c r="I264" s="73">
        <f t="shared" si="23"/>
        <v>10.892273730684327</v>
      </c>
      <c r="J264" s="2"/>
      <c r="L264" s="40"/>
    </row>
    <row r="265" spans="1:12" ht="63" hidden="1">
      <c r="A265" s="17"/>
      <c r="B265" s="48" t="s">
        <v>19</v>
      </c>
      <c r="C265" s="7" t="s">
        <v>238</v>
      </c>
      <c r="D265" s="1"/>
      <c r="E265" s="15"/>
      <c r="F265" s="4"/>
      <c r="G265" s="5"/>
      <c r="H265" s="69">
        <f t="shared" si="22"/>
        <v>0</v>
      </c>
      <c r="I265" s="70" t="e">
        <f t="shared" si="23"/>
        <v>#DIV/0!</v>
      </c>
      <c r="J265" s="2"/>
      <c r="L265" s="40"/>
    </row>
    <row r="266" spans="1:12" ht="80.25" customHeight="1">
      <c r="A266" s="27" t="s">
        <v>311</v>
      </c>
      <c r="B266" s="48" t="s">
        <v>312</v>
      </c>
      <c r="C266" s="18" t="s">
        <v>34</v>
      </c>
      <c r="D266" s="15">
        <v>45.3</v>
      </c>
      <c r="E266" s="15">
        <v>19</v>
      </c>
      <c r="F266" s="4">
        <v>4.9342</v>
      </c>
      <c r="G266" s="5">
        <f>F266-L258</f>
        <v>4.9342</v>
      </c>
      <c r="H266" s="69">
        <f t="shared" si="22"/>
        <v>-40.3658</v>
      </c>
      <c r="I266" s="70">
        <f t="shared" si="23"/>
        <v>10.892273730684327</v>
      </c>
      <c r="J266" s="2"/>
      <c r="L266" s="40"/>
    </row>
    <row r="267" spans="1:12" ht="15.75">
      <c r="A267" s="19" t="s">
        <v>322</v>
      </c>
      <c r="B267" s="72" t="s">
        <v>335</v>
      </c>
      <c r="C267" s="55" t="s">
        <v>266</v>
      </c>
      <c r="D267" s="71">
        <f>D268+D269+D270</f>
        <v>135.1</v>
      </c>
      <c r="E267" s="71">
        <f>E268+E269+E270</f>
        <v>0</v>
      </c>
      <c r="F267" s="71">
        <f>F268+F269+F270</f>
        <v>39.31085</v>
      </c>
      <c r="G267" s="71"/>
      <c r="H267" s="68">
        <f t="shared" si="22"/>
        <v>-95.78914999999999</v>
      </c>
      <c r="I267" s="73">
        <f t="shared" si="23"/>
        <v>29.097594374537383</v>
      </c>
      <c r="J267" s="2"/>
      <c r="L267" s="40"/>
    </row>
    <row r="268" spans="1:12" ht="22.5" customHeight="1" hidden="1">
      <c r="A268" s="19"/>
      <c r="B268" s="49" t="s">
        <v>445</v>
      </c>
      <c r="C268" s="24" t="s">
        <v>244</v>
      </c>
      <c r="D268" s="12"/>
      <c r="E268" s="12"/>
      <c r="F268" s="12"/>
      <c r="G268" s="12"/>
      <c r="H268" s="69">
        <f aca="true" t="shared" si="24" ref="H268:H295">F268-D268</f>
        <v>0</v>
      </c>
      <c r="I268" s="70" t="e">
        <f aca="true" t="shared" si="25" ref="I268:I295">F268/D268*100</f>
        <v>#DIV/0!</v>
      </c>
      <c r="J268" s="2"/>
      <c r="L268" s="40"/>
    </row>
    <row r="269" spans="1:12" ht="15.75" hidden="1">
      <c r="A269" s="19"/>
      <c r="B269" s="49" t="s">
        <v>288</v>
      </c>
      <c r="C269" s="24" t="s">
        <v>268</v>
      </c>
      <c r="D269" s="12"/>
      <c r="E269" s="12"/>
      <c r="F269" s="12"/>
      <c r="G269" s="12"/>
      <c r="H269" s="69">
        <f t="shared" si="24"/>
        <v>0</v>
      </c>
      <c r="I269" s="70" t="e">
        <f t="shared" si="25"/>
        <v>#DIV/0!</v>
      </c>
      <c r="J269" s="2"/>
      <c r="L269" s="40"/>
    </row>
    <row r="270" spans="1:12" ht="15.75">
      <c r="A270" s="19"/>
      <c r="B270" s="49" t="s">
        <v>446</v>
      </c>
      <c r="C270" s="99" t="s">
        <v>267</v>
      </c>
      <c r="D270" s="12">
        <v>135.1</v>
      </c>
      <c r="E270" s="12"/>
      <c r="F270" s="12">
        <v>39.31085</v>
      </c>
      <c r="G270" s="12"/>
      <c r="H270" s="69">
        <f t="shared" si="24"/>
        <v>-95.78914999999999</v>
      </c>
      <c r="I270" s="70">
        <f t="shared" si="25"/>
        <v>29.097594374537383</v>
      </c>
      <c r="J270" s="2"/>
      <c r="L270" s="40"/>
    </row>
    <row r="271" spans="1:12" ht="31.5" hidden="1">
      <c r="A271" s="19"/>
      <c r="B271" s="72" t="s">
        <v>325</v>
      </c>
      <c r="C271" s="3" t="s">
        <v>39</v>
      </c>
      <c r="D271" s="71"/>
      <c r="E271" s="71"/>
      <c r="F271" s="71"/>
      <c r="G271" s="71"/>
      <c r="H271" s="68">
        <f>F271-D271</f>
        <v>0</v>
      </c>
      <c r="I271" s="73" t="e">
        <f>F271/D271*100</f>
        <v>#DIV/0!</v>
      </c>
      <c r="J271" s="2"/>
      <c r="L271" s="40"/>
    </row>
    <row r="272" spans="1:12" ht="37.5" customHeight="1">
      <c r="A272" s="27"/>
      <c r="B272" s="64"/>
      <c r="C272" s="80" t="s">
        <v>476</v>
      </c>
      <c r="D272" s="71">
        <f>D273+D274+D281+D286+D287+D293</f>
        <v>170.59145</v>
      </c>
      <c r="E272" s="71">
        <f>E273+E274+E281+E286+E287+E293</f>
        <v>20.700000000000003</v>
      </c>
      <c r="F272" s="71">
        <f>F273+F274+F281+F286+F287+F293</f>
        <v>150.77259</v>
      </c>
      <c r="G272" s="71"/>
      <c r="H272" s="68">
        <f t="shared" si="24"/>
        <v>-19.81886</v>
      </c>
      <c r="I272" s="73">
        <f t="shared" si="25"/>
        <v>88.38226652039125</v>
      </c>
      <c r="J272" s="2"/>
      <c r="L272" s="40"/>
    </row>
    <row r="273" spans="1:12" ht="24" customHeight="1" hidden="1">
      <c r="A273" s="27"/>
      <c r="B273" s="64" t="s">
        <v>296</v>
      </c>
      <c r="C273" s="80" t="s">
        <v>89</v>
      </c>
      <c r="D273" s="71"/>
      <c r="E273" s="71"/>
      <c r="F273" s="71"/>
      <c r="G273" s="71"/>
      <c r="H273" s="68">
        <f t="shared" si="24"/>
        <v>0</v>
      </c>
      <c r="I273" s="73" t="e">
        <f t="shared" si="25"/>
        <v>#DIV/0!</v>
      </c>
      <c r="J273" s="2"/>
      <c r="L273" s="40"/>
    </row>
    <row r="274" spans="1:12" ht="15.75">
      <c r="A274" s="17" t="s">
        <v>297</v>
      </c>
      <c r="B274" s="64" t="s">
        <v>298</v>
      </c>
      <c r="C274" s="74" t="s">
        <v>264</v>
      </c>
      <c r="D274" s="71">
        <f>D275+D276+D277+D278+D280+D279</f>
        <v>155.32442</v>
      </c>
      <c r="E274" s="71">
        <f>E275+E276+E277+E278+E280+E279</f>
        <v>0</v>
      </c>
      <c r="F274" s="71">
        <f>F275+F276+F277+F278+F280+F279</f>
        <v>137.93676</v>
      </c>
      <c r="G274" s="71"/>
      <c r="H274" s="68">
        <f t="shared" si="24"/>
        <v>-17.38766000000001</v>
      </c>
      <c r="I274" s="73">
        <f t="shared" si="25"/>
        <v>88.80558511018421</v>
      </c>
      <c r="J274" s="2"/>
      <c r="L274" s="40"/>
    </row>
    <row r="275" spans="1:12" ht="15.75">
      <c r="A275" s="17"/>
      <c r="B275" s="48" t="s">
        <v>356</v>
      </c>
      <c r="C275" s="20" t="s">
        <v>45</v>
      </c>
      <c r="D275" s="12">
        <v>88.36342</v>
      </c>
      <c r="E275" s="12"/>
      <c r="F275" s="12">
        <v>88.36342</v>
      </c>
      <c r="G275" s="12"/>
      <c r="H275" s="69">
        <f t="shared" si="24"/>
        <v>0</v>
      </c>
      <c r="I275" s="70">
        <f t="shared" si="25"/>
        <v>100</v>
      </c>
      <c r="J275" s="2"/>
      <c r="L275" s="40"/>
    </row>
    <row r="276" spans="1:12" ht="15.75">
      <c r="A276" s="17"/>
      <c r="B276" s="48" t="s">
        <v>358</v>
      </c>
      <c r="C276" s="20" t="s">
        <v>44</v>
      </c>
      <c r="D276" s="12">
        <v>64.152</v>
      </c>
      <c r="E276" s="12"/>
      <c r="F276" s="12">
        <v>46.76434</v>
      </c>
      <c r="G276" s="12"/>
      <c r="H276" s="69">
        <f t="shared" si="24"/>
        <v>-17.387660000000004</v>
      </c>
      <c r="I276" s="70">
        <f t="shared" si="25"/>
        <v>72.89615288689362</v>
      </c>
      <c r="J276" s="2"/>
      <c r="L276" s="40"/>
    </row>
    <row r="277" spans="1:12" ht="15.75">
      <c r="A277" s="17"/>
      <c r="B277" s="48" t="s">
        <v>360</v>
      </c>
      <c r="C277" s="18" t="s">
        <v>395</v>
      </c>
      <c r="D277" s="12">
        <v>2.809</v>
      </c>
      <c r="E277" s="12"/>
      <c r="F277" s="12">
        <v>2.809</v>
      </c>
      <c r="G277" s="12"/>
      <c r="H277" s="69">
        <f t="shared" si="24"/>
        <v>0</v>
      </c>
      <c r="I277" s="70">
        <f t="shared" si="25"/>
        <v>100</v>
      </c>
      <c r="J277" s="2"/>
      <c r="L277" s="40"/>
    </row>
    <row r="278" spans="1:12" ht="18.75" customHeight="1" hidden="1">
      <c r="A278" s="17"/>
      <c r="B278" s="48" t="s">
        <v>375</v>
      </c>
      <c r="C278" s="18" t="s">
        <v>46</v>
      </c>
      <c r="D278" s="12">
        <v>0</v>
      </c>
      <c r="E278" s="12"/>
      <c r="F278" s="12">
        <v>0</v>
      </c>
      <c r="G278" s="12"/>
      <c r="H278" s="69">
        <f>F278-D278</f>
        <v>0</v>
      </c>
      <c r="I278" s="70" t="e">
        <f>F278/D278*100</f>
        <v>#DIV/0!</v>
      </c>
      <c r="J278" s="2"/>
      <c r="L278" s="40"/>
    </row>
    <row r="279" spans="1:12" ht="31.5" customHeight="1" hidden="1">
      <c r="A279" s="17"/>
      <c r="B279" s="48" t="s">
        <v>377</v>
      </c>
      <c r="C279" s="18" t="s">
        <v>398</v>
      </c>
      <c r="D279" s="12"/>
      <c r="E279" s="12"/>
      <c r="F279" s="12"/>
      <c r="G279" s="12"/>
      <c r="H279" s="69">
        <f>F279-D279</f>
        <v>0</v>
      </c>
      <c r="I279" s="70" t="e">
        <f>F279/D279*100</f>
        <v>#DIV/0!</v>
      </c>
      <c r="J279" s="2"/>
      <c r="L279" s="40"/>
    </row>
    <row r="280" spans="1:12" ht="17.25" customHeight="1" hidden="1">
      <c r="A280" s="17"/>
      <c r="B280" s="48" t="s">
        <v>372</v>
      </c>
      <c r="C280" s="18" t="s">
        <v>399</v>
      </c>
      <c r="D280" s="12"/>
      <c r="E280" s="12"/>
      <c r="F280" s="12"/>
      <c r="G280" s="12"/>
      <c r="H280" s="69">
        <f t="shared" si="24"/>
        <v>0</v>
      </c>
      <c r="I280" s="70" t="e">
        <f t="shared" si="25"/>
        <v>#DIV/0!</v>
      </c>
      <c r="J280" s="2"/>
      <c r="L280" s="40"/>
    </row>
    <row r="281" spans="1:12" ht="15.75">
      <c r="A281" s="17"/>
      <c r="B281" s="64" t="s">
        <v>300</v>
      </c>
      <c r="C281" s="74" t="s">
        <v>265</v>
      </c>
      <c r="D281" s="71">
        <f>D282+D283+D284+D285</f>
        <v>0.05</v>
      </c>
      <c r="E281" s="71">
        <f>E282+E283+E284+E285</f>
        <v>0</v>
      </c>
      <c r="F281" s="71">
        <f>F282+F283+F284+F285</f>
        <v>0.05</v>
      </c>
      <c r="G281" s="71"/>
      <c r="H281" s="68">
        <f t="shared" si="24"/>
        <v>0</v>
      </c>
      <c r="I281" s="73">
        <f t="shared" si="25"/>
        <v>100</v>
      </c>
      <c r="J281" s="2"/>
      <c r="L281" s="40"/>
    </row>
    <row r="282" spans="1:12" ht="42.75" customHeight="1">
      <c r="A282" s="17"/>
      <c r="B282" s="48" t="s">
        <v>309</v>
      </c>
      <c r="C282" s="18" t="s">
        <v>158</v>
      </c>
      <c r="D282" s="12">
        <v>0.05</v>
      </c>
      <c r="E282" s="12"/>
      <c r="F282" s="12">
        <v>0.05</v>
      </c>
      <c r="G282" s="12"/>
      <c r="H282" s="69">
        <f t="shared" si="24"/>
        <v>0</v>
      </c>
      <c r="I282" s="70">
        <f t="shared" si="25"/>
        <v>100</v>
      </c>
      <c r="J282" s="2"/>
      <c r="L282" s="40"/>
    </row>
    <row r="283" spans="1:12" ht="63" hidden="1">
      <c r="A283" s="17"/>
      <c r="B283" s="48" t="s">
        <v>19</v>
      </c>
      <c r="C283" s="7" t="s">
        <v>238</v>
      </c>
      <c r="D283" s="12"/>
      <c r="E283" s="12"/>
      <c r="F283" s="12"/>
      <c r="G283" s="12"/>
      <c r="H283" s="69">
        <f t="shared" si="24"/>
        <v>0</v>
      </c>
      <c r="I283" s="70" t="e">
        <f t="shared" si="25"/>
        <v>#DIV/0!</v>
      </c>
      <c r="J283" s="2"/>
      <c r="L283" s="40"/>
    </row>
    <row r="284" spans="1:12" ht="47.25" hidden="1">
      <c r="A284" s="17"/>
      <c r="B284" s="48" t="s">
        <v>25</v>
      </c>
      <c r="C284" s="3" t="s">
        <v>269</v>
      </c>
      <c r="D284" s="12"/>
      <c r="E284" s="12"/>
      <c r="F284" s="12"/>
      <c r="G284" s="12"/>
      <c r="H284" s="69">
        <f t="shared" si="24"/>
        <v>0</v>
      </c>
      <c r="I284" s="70" t="e">
        <f t="shared" si="25"/>
        <v>#DIV/0!</v>
      </c>
      <c r="J284" s="2"/>
      <c r="L284" s="40"/>
    </row>
    <row r="285" spans="1:12" ht="63" hidden="1">
      <c r="A285" s="17"/>
      <c r="B285" s="48" t="s">
        <v>312</v>
      </c>
      <c r="C285" s="18" t="s">
        <v>34</v>
      </c>
      <c r="D285" s="12"/>
      <c r="E285" s="12"/>
      <c r="F285" s="12"/>
      <c r="G285" s="12"/>
      <c r="H285" s="69">
        <f t="shared" si="24"/>
        <v>0</v>
      </c>
      <c r="I285" s="70" t="e">
        <f t="shared" si="25"/>
        <v>#DIV/0!</v>
      </c>
      <c r="J285" s="2"/>
      <c r="L285" s="40"/>
    </row>
    <row r="286" spans="1:12" ht="63" hidden="1">
      <c r="A286" s="27" t="s">
        <v>311</v>
      </c>
      <c r="B286" s="64" t="s">
        <v>321</v>
      </c>
      <c r="C286" s="55" t="s">
        <v>270</v>
      </c>
      <c r="D286" s="6"/>
      <c r="E286" s="6">
        <v>20.6</v>
      </c>
      <c r="F286" s="6"/>
      <c r="G286" s="5"/>
      <c r="H286" s="68">
        <f t="shared" si="24"/>
        <v>0</v>
      </c>
      <c r="I286" s="73" t="e">
        <f t="shared" si="25"/>
        <v>#DIV/0!</v>
      </c>
      <c r="J286" s="2"/>
      <c r="L286" s="40"/>
    </row>
    <row r="287" spans="1:12" ht="15.75">
      <c r="A287" s="19" t="s">
        <v>322</v>
      </c>
      <c r="B287" s="72" t="s">
        <v>335</v>
      </c>
      <c r="C287" s="63" t="s">
        <v>266</v>
      </c>
      <c r="D287" s="100">
        <f>D288+D289+D290+D291</f>
        <v>15.217030000000001</v>
      </c>
      <c r="E287" s="100">
        <f>E288+E289+E290+E291</f>
        <v>0</v>
      </c>
      <c r="F287" s="100">
        <f>F288+F289+F290+F291</f>
        <v>12.78583</v>
      </c>
      <c r="G287" s="71"/>
      <c r="H287" s="68">
        <f t="shared" si="24"/>
        <v>-2.4312000000000005</v>
      </c>
      <c r="I287" s="73">
        <f t="shared" si="25"/>
        <v>84.02316352139675</v>
      </c>
      <c r="J287" s="2"/>
      <c r="L287" s="40"/>
    </row>
    <row r="288" spans="1:12" ht="15.75">
      <c r="A288" s="19"/>
      <c r="B288" s="72" t="s">
        <v>444</v>
      </c>
      <c r="C288" s="87" t="s">
        <v>271</v>
      </c>
      <c r="D288" s="100">
        <v>8.26703</v>
      </c>
      <c r="E288" s="71"/>
      <c r="F288" s="71">
        <v>6.92583</v>
      </c>
      <c r="G288" s="71"/>
      <c r="H288" s="68">
        <f t="shared" si="24"/>
        <v>-1.3411999999999997</v>
      </c>
      <c r="I288" s="73">
        <f t="shared" si="25"/>
        <v>83.77651949974779</v>
      </c>
      <c r="J288" s="2"/>
      <c r="L288" s="40"/>
    </row>
    <row r="289" spans="1:12" ht="15.75" customHeight="1">
      <c r="A289" s="19"/>
      <c r="B289" s="72" t="s">
        <v>445</v>
      </c>
      <c r="C289" s="87" t="s">
        <v>192</v>
      </c>
      <c r="D289" s="100">
        <v>0.34</v>
      </c>
      <c r="E289" s="71"/>
      <c r="F289" s="71">
        <v>0</v>
      </c>
      <c r="G289" s="71"/>
      <c r="H289" s="68">
        <f t="shared" si="24"/>
        <v>-0.34</v>
      </c>
      <c r="I289" s="73">
        <f t="shared" si="25"/>
        <v>0</v>
      </c>
      <c r="J289" s="2"/>
      <c r="L289" s="40"/>
    </row>
    <row r="290" spans="1:12" ht="15.75">
      <c r="A290" s="19"/>
      <c r="B290" s="72" t="s">
        <v>446</v>
      </c>
      <c r="C290" s="99" t="s">
        <v>267</v>
      </c>
      <c r="D290" s="100">
        <v>2.22</v>
      </c>
      <c r="E290" s="71"/>
      <c r="F290" s="71">
        <v>1.47</v>
      </c>
      <c r="G290" s="71"/>
      <c r="H290" s="68">
        <f t="shared" si="24"/>
        <v>-0.7500000000000002</v>
      </c>
      <c r="I290" s="73">
        <f t="shared" si="25"/>
        <v>66.21621621621621</v>
      </c>
      <c r="J290" s="2"/>
      <c r="L290" s="40"/>
    </row>
    <row r="291" spans="1:12" ht="44.25" customHeight="1">
      <c r="A291" s="19"/>
      <c r="B291" s="72" t="s">
        <v>424</v>
      </c>
      <c r="C291" s="99" t="s">
        <v>281</v>
      </c>
      <c r="D291" s="100">
        <v>4.39</v>
      </c>
      <c r="E291" s="71"/>
      <c r="F291" s="71">
        <v>4.39</v>
      </c>
      <c r="G291" s="71"/>
      <c r="H291" s="68">
        <f t="shared" si="24"/>
        <v>0</v>
      </c>
      <c r="I291" s="73">
        <f t="shared" si="25"/>
        <v>100</v>
      </c>
      <c r="J291" s="2"/>
      <c r="L291" s="40"/>
    </row>
    <row r="292" spans="1:12" ht="66" customHeight="1" hidden="1">
      <c r="A292" s="19"/>
      <c r="B292" s="72" t="s">
        <v>415</v>
      </c>
      <c r="C292" s="55" t="s">
        <v>282</v>
      </c>
      <c r="D292" s="100"/>
      <c r="E292" s="71"/>
      <c r="F292" s="71"/>
      <c r="G292" s="71"/>
      <c r="H292" s="68">
        <f>F292-D292</f>
        <v>0</v>
      </c>
      <c r="I292" s="76" t="e">
        <f>F292/D292*100</f>
        <v>#DIV/0!</v>
      </c>
      <c r="J292" s="2"/>
      <c r="L292" s="40"/>
    </row>
    <row r="293" spans="1:12" ht="31.5" hidden="1">
      <c r="A293" s="27" t="s">
        <v>323</v>
      </c>
      <c r="B293" s="64" t="s">
        <v>325</v>
      </c>
      <c r="C293" s="80" t="s">
        <v>39</v>
      </c>
      <c r="D293" s="6"/>
      <c r="E293" s="6">
        <v>0.1</v>
      </c>
      <c r="F293" s="5"/>
      <c r="G293" s="5" t="e">
        <f>F293-#REF!</f>
        <v>#REF!</v>
      </c>
      <c r="H293" s="68">
        <f t="shared" si="24"/>
        <v>0</v>
      </c>
      <c r="I293" s="73" t="e">
        <f t="shared" si="25"/>
        <v>#DIV/0!</v>
      </c>
      <c r="J293" s="2"/>
      <c r="L293" s="59"/>
    </row>
    <row r="294" spans="1:12" ht="18" customHeight="1">
      <c r="A294" s="27"/>
      <c r="B294" s="97"/>
      <c r="C294" s="74" t="s">
        <v>391</v>
      </c>
      <c r="D294" s="6">
        <f>D185+D254+D272</f>
        <v>20963.23297</v>
      </c>
      <c r="E294" s="6">
        <f>E185+E254+E272</f>
        <v>155.7</v>
      </c>
      <c r="F294" s="6">
        <f>F185+F254+F272</f>
        <v>4297.24763</v>
      </c>
      <c r="G294" s="6" t="e">
        <f>G254+#REF!+#REF!</f>
        <v>#REF!</v>
      </c>
      <c r="H294" s="68">
        <f t="shared" si="24"/>
        <v>-16665.98534</v>
      </c>
      <c r="I294" s="73">
        <f t="shared" si="25"/>
        <v>20.498973780187875</v>
      </c>
      <c r="L294" s="29"/>
    </row>
    <row r="295" spans="1:12" ht="18" customHeight="1">
      <c r="A295" s="27"/>
      <c r="B295" s="97"/>
      <c r="C295" s="74" t="s">
        <v>290</v>
      </c>
      <c r="D295" s="6">
        <f>D294+D183</f>
        <v>187756.71161</v>
      </c>
      <c r="E295" s="6"/>
      <c r="F295" s="6">
        <f>F294+F183</f>
        <v>41856.40124000001</v>
      </c>
      <c r="G295" s="6"/>
      <c r="H295" s="68">
        <f t="shared" si="24"/>
        <v>-145900.31037</v>
      </c>
      <c r="I295" s="73">
        <f t="shared" si="25"/>
        <v>22.292892158732673</v>
      </c>
      <c r="L295" s="29"/>
    </row>
    <row r="296" spans="1:12" ht="78" customHeight="1">
      <c r="A296" s="113" t="s">
        <v>28</v>
      </c>
      <c r="B296" s="113"/>
      <c r="C296" s="113"/>
      <c r="D296" s="60"/>
      <c r="E296" s="60"/>
      <c r="F296" s="114" t="s">
        <v>47</v>
      </c>
      <c r="G296" s="114"/>
      <c r="H296" s="114"/>
      <c r="I296" s="114"/>
      <c r="L296" s="29"/>
    </row>
    <row r="297" spans="1:12" ht="18" customHeight="1">
      <c r="A297" s="106"/>
      <c r="B297" s="106"/>
      <c r="C297" s="106"/>
      <c r="G297" s="107"/>
      <c r="H297" s="107"/>
      <c r="L297" s="29"/>
    </row>
    <row r="298" spans="1:12" ht="18" customHeight="1">
      <c r="A298" s="106"/>
      <c r="B298" s="106"/>
      <c r="C298" s="106"/>
      <c r="L298" s="29"/>
    </row>
    <row r="299" spans="3:12" ht="15.75">
      <c r="C299" s="41"/>
      <c r="L299" s="34"/>
    </row>
    <row r="300" spans="3:12" ht="15.75">
      <c r="C300" s="42"/>
      <c r="D300" s="43"/>
      <c r="E300" s="43"/>
      <c r="F300" s="43"/>
      <c r="G300" s="44"/>
      <c r="L300" s="45"/>
    </row>
    <row r="301" spans="3:12" ht="45" customHeight="1">
      <c r="C301" s="41"/>
      <c r="D301" s="9"/>
      <c r="E301" s="9"/>
      <c r="F301" s="9"/>
      <c r="G301" s="46"/>
      <c r="H301" s="9"/>
      <c r="L301" s="45"/>
    </row>
    <row r="302" spans="3:12" ht="84" customHeight="1">
      <c r="C302" s="41"/>
      <c r="D302" s="9"/>
      <c r="E302" s="9"/>
      <c r="F302" s="9"/>
      <c r="G302" s="46"/>
      <c r="L302" s="29"/>
    </row>
    <row r="303" spans="3:12" ht="15.75">
      <c r="C303" s="41"/>
      <c r="L303" s="45"/>
    </row>
    <row r="304" spans="3:12" ht="15.75">
      <c r="C304" s="41"/>
      <c r="D304" s="9"/>
      <c r="E304" s="9"/>
      <c r="F304" s="9"/>
      <c r="G304" s="46"/>
      <c r="L304" s="29"/>
    </row>
    <row r="305" ht="15.75">
      <c r="L305" s="29"/>
    </row>
    <row r="306" ht="15.75">
      <c r="L306" s="29"/>
    </row>
    <row r="307" ht="15.75">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sheetData>
  <mergeCells count="12">
    <mergeCell ref="C2:I2"/>
    <mergeCell ref="C3:I3"/>
    <mergeCell ref="A6:I6"/>
    <mergeCell ref="A7:I7"/>
    <mergeCell ref="A297:C297"/>
    <mergeCell ref="G297:H297"/>
    <mergeCell ref="A298:C298"/>
    <mergeCell ref="H8:I8"/>
    <mergeCell ref="A11:I11"/>
    <mergeCell ref="A184:I184"/>
    <mergeCell ref="A296:C296"/>
    <mergeCell ref="F296:I296"/>
  </mergeCells>
  <printOptions/>
  <pageMargins left="1.41" right="0.31" top="0.55" bottom="0.19" header="0" footer="0"/>
  <pageSetup blackAndWhite="1" fitToHeight="17"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dimension ref="A1:M430"/>
  <sheetViews>
    <sheetView tabSelected="1" view="pageBreakPreview" zoomScaleSheetLayoutView="100" workbookViewId="0" topLeftCell="B7">
      <selection activeCell="C7" sqref="C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9" width="13.875" style="21" customWidth="1"/>
    <col min="10" max="10" width="10.75390625" style="21" customWidth="1"/>
    <col min="11" max="11" width="9.125" style="21" customWidth="1"/>
    <col min="12" max="12" width="11.125" style="21" customWidth="1"/>
    <col min="13" max="16384" width="9.125" style="21" customWidth="1"/>
  </cols>
  <sheetData>
    <row r="1" spans="3:9" s="119" customFormat="1" ht="18" customHeight="1">
      <c r="C1" s="120"/>
      <c r="E1" s="120" t="s">
        <v>27</v>
      </c>
      <c r="F1" s="121" t="s">
        <v>29</v>
      </c>
      <c r="G1" s="121"/>
      <c r="H1" s="121"/>
      <c r="I1" s="121"/>
    </row>
    <row r="2" spans="5:9" s="119" customFormat="1" ht="21" customHeight="1">
      <c r="E2" s="120"/>
      <c r="F2" s="122" t="s">
        <v>95</v>
      </c>
      <c r="G2" s="120"/>
      <c r="H2" s="123"/>
      <c r="I2" s="123"/>
    </row>
    <row r="3" spans="5:9" s="119" customFormat="1" ht="21" customHeight="1">
      <c r="E3" s="120"/>
      <c r="F3" s="122" t="s">
        <v>116</v>
      </c>
      <c r="G3" s="120"/>
      <c r="H3" s="123"/>
      <c r="I3" s="123"/>
    </row>
    <row r="4" spans="1:12" s="119" customFormat="1" ht="21" customHeight="1">
      <c r="A4" s="124" t="s">
        <v>24</v>
      </c>
      <c r="B4" s="124"/>
      <c r="C4" s="124"/>
      <c r="D4" s="124"/>
      <c r="E4" s="124"/>
      <c r="F4" s="124"/>
      <c r="G4" s="124"/>
      <c r="H4" s="124"/>
      <c r="I4" s="124"/>
      <c r="J4" s="123"/>
      <c r="L4" s="125"/>
    </row>
    <row r="5" spans="1:12" s="119" customFormat="1" ht="23.25" customHeight="1">
      <c r="A5" s="124" t="s">
        <v>1</v>
      </c>
      <c r="B5" s="124"/>
      <c r="C5" s="124"/>
      <c r="D5" s="124"/>
      <c r="E5" s="124"/>
      <c r="F5" s="124"/>
      <c r="G5" s="124"/>
      <c r="H5" s="124"/>
      <c r="I5" s="124"/>
      <c r="J5" s="126"/>
      <c r="L5" s="125"/>
    </row>
    <row r="6" spans="8:13" ht="15.75">
      <c r="H6" s="108" t="s">
        <v>56</v>
      </c>
      <c r="I6" s="108"/>
      <c r="J6" s="30"/>
      <c r="K6" s="31"/>
      <c r="L6" s="30"/>
      <c r="M6" s="31"/>
    </row>
    <row r="7" spans="1:12" ht="78.75">
      <c r="A7" s="32" t="s">
        <v>292</v>
      </c>
      <c r="B7" s="32" t="s">
        <v>293</v>
      </c>
      <c r="C7" s="32" t="s">
        <v>117</v>
      </c>
      <c r="D7" s="33" t="s">
        <v>57</v>
      </c>
      <c r="E7" s="32" t="s">
        <v>456</v>
      </c>
      <c r="F7" s="32" t="s">
        <v>115</v>
      </c>
      <c r="G7" s="33" t="s">
        <v>451</v>
      </c>
      <c r="H7" s="32" t="s">
        <v>59</v>
      </c>
      <c r="I7" s="32" t="s">
        <v>60</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295</v>
      </c>
      <c r="B10" s="79" t="s">
        <v>296</v>
      </c>
      <c r="C10" s="80" t="s">
        <v>98</v>
      </c>
      <c r="D10" s="5">
        <f>SUM(D11:D19)</f>
        <v>11205.65386</v>
      </c>
      <c r="E10" s="5">
        <f>SUM(E11:E19)</f>
        <v>3613.0000000000005</v>
      </c>
      <c r="F10" s="5">
        <f>SUM(F11:F19)</f>
        <v>10527.708860000002</v>
      </c>
      <c r="G10" s="5" t="e">
        <f>SUM(G11:G19)</f>
        <v>#REF!</v>
      </c>
      <c r="H10" s="5">
        <f aca="true" t="shared" si="0" ref="H10:H34">F10-D10</f>
        <v>-677.9449999999979</v>
      </c>
      <c r="I10" s="6">
        <f aca="true" t="shared" si="1" ref="I10:I26">F10/D10*100</f>
        <v>93.94997375012619</v>
      </c>
      <c r="J10" s="2"/>
      <c r="L10" s="37"/>
    </row>
    <row r="11" spans="1:12" ht="15.75">
      <c r="A11" s="17" t="s">
        <v>295</v>
      </c>
      <c r="B11" s="48" t="s">
        <v>296</v>
      </c>
      <c r="C11" s="18" t="s">
        <v>114</v>
      </c>
      <c r="D11" s="6">
        <v>733.172</v>
      </c>
      <c r="E11" s="1">
        <v>314.3</v>
      </c>
      <c r="F11" s="4">
        <v>717.7475</v>
      </c>
      <c r="G11" s="5">
        <f>F11-L10</f>
        <v>717.7475</v>
      </c>
      <c r="H11" s="4">
        <f t="shared" si="0"/>
        <v>-15.42450000000008</v>
      </c>
      <c r="I11" s="1">
        <f t="shared" si="1"/>
        <v>97.89619625408498</v>
      </c>
      <c r="J11" s="2"/>
      <c r="L11" s="37"/>
    </row>
    <row r="12" spans="1:12" ht="31.5">
      <c r="A12" s="17" t="s">
        <v>295</v>
      </c>
      <c r="B12" s="48" t="s">
        <v>296</v>
      </c>
      <c r="C12" s="18" t="s">
        <v>118</v>
      </c>
      <c r="D12" s="6">
        <v>5027.89556</v>
      </c>
      <c r="E12" s="1">
        <v>1487.3</v>
      </c>
      <c r="F12" s="4">
        <v>4715.5338</v>
      </c>
      <c r="G12" s="5">
        <f>F12-L11</f>
        <v>4715.5338</v>
      </c>
      <c r="H12" s="4">
        <f t="shared" si="0"/>
        <v>-312.3617599999998</v>
      </c>
      <c r="I12" s="1">
        <f t="shared" si="1"/>
        <v>93.78742544922711</v>
      </c>
      <c r="J12" s="2"/>
      <c r="L12" s="37"/>
    </row>
    <row r="13" spans="1:12" ht="47.25">
      <c r="A13" s="17"/>
      <c r="B13" s="48" t="s">
        <v>296</v>
      </c>
      <c r="C13" s="18" t="s">
        <v>251</v>
      </c>
      <c r="D13" s="6">
        <f>42.653-5</f>
        <v>37.653</v>
      </c>
      <c r="E13" s="1"/>
      <c r="F13" s="4">
        <v>6.109</v>
      </c>
      <c r="G13" s="5"/>
      <c r="H13" s="4">
        <f t="shared" si="0"/>
        <v>-31.543999999999997</v>
      </c>
      <c r="I13" s="1">
        <f t="shared" si="1"/>
        <v>16.22447082569782</v>
      </c>
      <c r="J13" s="2"/>
      <c r="L13" s="37"/>
    </row>
    <row r="14" spans="1:12" ht="31.5">
      <c r="A14" s="17" t="s">
        <v>295</v>
      </c>
      <c r="B14" s="48" t="s">
        <v>296</v>
      </c>
      <c r="C14" s="18" t="s">
        <v>119</v>
      </c>
      <c r="D14" s="6">
        <v>1162.398</v>
      </c>
      <c r="E14" s="1">
        <v>432.3</v>
      </c>
      <c r="F14" s="4">
        <v>1032.07315</v>
      </c>
      <c r="G14" s="5">
        <f>F14-L12</f>
        <v>1032.07315</v>
      </c>
      <c r="H14" s="4">
        <f t="shared" si="0"/>
        <v>-130.32484999999997</v>
      </c>
      <c r="I14" s="1">
        <f t="shared" si="1"/>
        <v>88.78827647673172</v>
      </c>
      <c r="J14" s="2"/>
      <c r="L14" s="37"/>
    </row>
    <row r="15" spans="1:12" ht="31.5">
      <c r="A15" s="17" t="s">
        <v>295</v>
      </c>
      <c r="B15" s="48" t="s">
        <v>296</v>
      </c>
      <c r="C15" s="7" t="s">
        <v>120</v>
      </c>
      <c r="D15" s="6">
        <v>1816.03908</v>
      </c>
      <c r="E15" s="1">
        <v>549.7</v>
      </c>
      <c r="F15" s="4">
        <v>1742.94036</v>
      </c>
      <c r="G15" s="5">
        <f>F15-L14</f>
        <v>1742.94036</v>
      </c>
      <c r="H15" s="4">
        <f t="shared" si="0"/>
        <v>-73.09871999999996</v>
      </c>
      <c r="I15" s="1">
        <f t="shared" si="1"/>
        <v>95.97482670912567</v>
      </c>
      <c r="J15" s="2"/>
      <c r="L15" s="37"/>
    </row>
    <row r="16" spans="1:12" ht="47.25">
      <c r="A16" s="17" t="s">
        <v>295</v>
      </c>
      <c r="B16" s="48" t="s">
        <v>296</v>
      </c>
      <c r="C16" s="7" t="s">
        <v>121</v>
      </c>
      <c r="D16" s="6">
        <v>804.11</v>
      </c>
      <c r="E16" s="1">
        <v>309</v>
      </c>
      <c r="F16" s="4">
        <v>769.33825</v>
      </c>
      <c r="G16" s="5">
        <f>F16-L15</f>
        <v>769.33825</v>
      </c>
      <c r="H16" s="4">
        <f t="shared" si="0"/>
        <v>-34.77175</v>
      </c>
      <c r="I16" s="1">
        <f t="shared" si="1"/>
        <v>95.67574709927746</v>
      </c>
      <c r="J16" s="2"/>
      <c r="L16" s="37"/>
    </row>
    <row r="17" spans="1:12" ht="31.5">
      <c r="A17" s="17" t="s">
        <v>295</v>
      </c>
      <c r="B17" s="48" t="s">
        <v>296</v>
      </c>
      <c r="C17" s="7" t="s">
        <v>122</v>
      </c>
      <c r="D17" s="6">
        <v>789.2878</v>
      </c>
      <c r="E17" s="1">
        <v>258.7</v>
      </c>
      <c r="F17" s="4">
        <v>751.00238</v>
      </c>
      <c r="G17" s="5">
        <f>F17-L16</f>
        <v>751.00238</v>
      </c>
      <c r="H17" s="4">
        <f t="shared" si="0"/>
        <v>-38.28541999999993</v>
      </c>
      <c r="I17" s="1">
        <f t="shared" si="1"/>
        <v>95.14937136998698</v>
      </c>
      <c r="J17" s="2"/>
      <c r="L17" s="37"/>
    </row>
    <row r="18" spans="1:12" ht="31.5">
      <c r="A18" s="17" t="s">
        <v>295</v>
      </c>
      <c r="B18" s="48" t="s">
        <v>296</v>
      </c>
      <c r="C18" s="18" t="s">
        <v>123</v>
      </c>
      <c r="D18" s="6">
        <v>449.5394</v>
      </c>
      <c r="E18" s="1">
        <v>132.9</v>
      </c>
      <c r="F18" s="4">
        <v>421.3971</v>
      </c>
      <c r="G18" s="5" t="e">
        <f>F18-#REF!</f>
        <v>#REF!</v>
      </c>
      <c r="H18" s="4">
        <f t="shared" si="0"/>
        <v>-28.142299999999977</v>
      </c>
      <c r="I18" s="1">
        <f t="shared" si="1"/>
        <v>93.73974783967769</v>
      </c>
      <c r="J18" s="2"/>
      <c r="L18" s="37"/>
    </row>
    <row r="19" spans="1:12" ht="31.5">
      <c r="A19" s="17" t="s">
        <v>295</v>
      </c>
      <c r="B19" s="48" t="s">
        <v>296</v>
      </c>
      <c r="C19" s="18" t="s">
        <v>124</v>
      </c>
      <c r="D19" s="6">
        <v>385.55902</v>
      </c>
      <c r="E19" s="1">
        <v>128.8</v>
      </c>
      <c r="F19" s="4">
        <v>371.56732</v>
      </c>
      <c r="G19" s="5">
        <f>F19-L18</f>
        <v>371.56732</v>
      </c>
      <c r="H19" s="4">
        <f t="shared" si="0"/>
        <v>-13.99169999999998</v>
      </c>
      <c r="I19" s="1">
        <f t="shared" si="1"/>
        <v>96.37106142660079</v>
      </c>
      <c r="J19" s="2"/>
      <c r="L19" s="2"/>
    </row>
    <row r="20" spans="1:12" ht="63">
      <c r="A20" s="17"/>
      <c r="B20" s="72" t="s">
        <v>478</v>
      </c>
      <c r="C20" s="55" t="s">
        <v>125</v>
      </c>
      <c r="D20" s="46">
        <v>0.81</v>
      </c>
      <c r="E20" s="46"/>
      <c r="F20" s="5">
        <v>0</v>
      </c>
      <c r="G20" s="5"/>
      <c r="H20" s="5">
        <f t="shared" si="0"/>
        <v>-0.81</v>
      </c>
      <c r="I20" s="6">
        <f t="shared" si="1"/>
        <v>0</v>
      </c>
      <c r="J20" s="2"/>
      <c r="L20" s="2"/>
    </row>
    <row r="21" spans="1:12" ht="15.75">
      <c r="A21" s="17" t="s">
        <v>297</v>
      </c>
      <c r="B21" s="64" t="s">
        <v>298</v>
      </c>
      <c r="C21" s="74" t="s">
        <v>99</v>
      </c>
      <c r="D21" s="6">
        <f>SUM(D22:D28)</f>
        <v>61950.866330000004</v>
      </c>
      <c r="E21" s="6">
        <f>SUM(E22:E28)</f>
        <v>21838.1</v>
      </c>
      <c r="F21" s="6">
        <f>SUM(F22:F28)</f>
        <v>59452.09617</v>
      </c>
      <c r="G21" s="6">
        <f>SUM(G22:G28)</f>
        <v>59450.58217</v>
      </c>
      <c r="H21" s="5">
        <f t="shared" si="0"/>
        <v>-2498.7701600000073</v>
      </c>
      <c r="I21" s="6">
        <f t="shared" si="1"/>
        <v>95.9665291092306</v>
      </c>
      <c r="J21" s="2"/>
      <c r="L21" s="37"/>
    </row>
    <row r="22" spans="1:12" ht="15.75">
      <c r="A22" s="17" t="s">
        <v>357</v>
      </c>
      <c r="B22" s="64" t="s">
        <v>356</v>
      </c>
      <c r="C22" s="74" t="s">
        <v>393</v>
      </c>
      <c r="D22" s="6">
        <v>22394.98631</v>
      </c>
      <c r="E22" s="6">
        <v>7100.2</v>
      </c>
      <c r="F22" s="5">
        <v>21465.93508</v>
      </c>
      <c r="G22" s="5">
        <f>F22-L21</f>
        <v>21465.93508</v>
      </c>
      <c r="H22" s="5">
        <f t="shared" si="0"/>
        <v>-929.0512300000009</v>
      </c>
      <c r="I22" s="6">
        <f t="shared" si="1"/>
        <v>95.85152133098134</v>
      </c>
      <c r="J22" s="2"/>
      <c r="L22" s="37"/>
    </row>
    <row r="23" spans="1:12" ht="33" customHeight="1">
      <c r="A23" s="17"/>
      <c r="B23" s="64" t="s">
        <v>356</v>
      </c>
      <c r="C23" s="74" t="s">
        <v>126</v>
      </c>
      <c r="D23" s="6">
        <v>1.514</v>
      </c>
      <c r="E23" s="6"/>
      <c r="F23" s="5">
        <v>1.514</v>
      </c>
      <c r="G23" s="5"/>
      <c r="H23" s="5">
        <f t="shared" si="0"/>
        <v>0</v>
      </c>
      <c r="I23" s="6">
        <f t="shared" si="1"/>
        <v>100</v>
      </c>
      <c r="J23" s="2"/>
      <c r="L23" s="37"/>
    </row>
    <row r="24" spans="1:12" ht="15.75">
      <c r="A24" s="17" t="s">
        <v>359</v>
      </c>
      <c r="B24" s="64" t="s">
        <v>358</v>
      </c>
      <c r="C24" s="74" t="s">
        <v>394</v>
      </c>
      <c r="D24" s="6">
        <v>32260.91906</v>
      </c>
      <c r="E24" s="6">
        <v>12055.3</v>
      </c>
      <c r="F24" s="5">
        <v>31017.69796</v>
      </c>
      <c r="G24" s="5">
        <f>F24-L22</f>
        <v>31017.69796</v>
      </c>
      <c r="H24" s="5">
        <f t="shared" si="0"/>
        <v>-1243.2210999999988</v>
      </c>
      <c r="I24" s="6">
        <f t="shared" si="1"/>
        <v>96.14635560230688</v>
      </c>
      <c r="J24" s="2"/>
      <c r="L24" s="37"/>
    </row>
    <row r="25" spans="1:12" ht="31.5">
      <c r="A25" s="17" t="s">
        <v>357</v>
      </c>
      <c r="B25" s="64" t="s">
        <v>457</v>
      </c>
      <c r="C25" s="74" t="s">
        <v>127</v>
      </c>
      <c r="D25" s="6">
        <v>295.218</v>
      </c>
      <c r="E25" s="6">
        <v>59.1</v>
      </c>
      <c r="F25" s="5">
        <v>280.74205</v>
      </c>
      <c r="G25" s="5">
        <f>F25-L24</f>
        <v>280.74205</v>
      </c>
      <c r="H25" s="5">
        <f t="shared" si="0"/>
        <v>-14.475950000000012</v>
      </c>
      <c r="I25" s="6">
        <f t="shared" si="1"/>
        <v>95.09652189229654</v>
      </c>
      <c r="J25" s="2"/>
      <c r="L25" s="37"/>
    </row>
    <row r="26" spans="1:12" ht="21.75" customHeight="1">
      <c r="A26" s="17" t="s">
        <v>361</v>
      </c>
      <c r="B26" s="64" t="s">
        <v>360</v>
      </c>
      <c r="C26" s="74" t="s">
        <v>395</v>
      </c>
      <c r="D26" s="6">
        <v>3090.1095</v>
      </c>
      <c r="E26" s="6">
        <v>1069.7</v>
      </c>
      <c r="F26" s="5">
        <v>3051.46557</v>
      </c>
      <c r="G26" s="5">
        <f>F26-L25</f>
        <v>3051.46557</v>
      </c>
      <c r="H26" s="5">
        <f t="shared" si="0"/>
        <v>-38.64393000000018</v>
      </c>
      <c r="I26" s="6">
        <f t="shared" si="1"/>
        <v>98.74943169489624</v>
      </c>
      <c r="J26" s="2"/>
      <c r="L26" s="37"/>
    </row>
    <row r="27" spans="1:12" ht="19.5" customHeight="1" hidden="1">
      <c r="A27" s="17" t="s">
        <v>361</v>
      </c>
      <c r="B27" s="64" t="s">
        <v>360</v>
      </c>
      <c r="C27" s="74" t="s">
        <v>388</v>
      </c>
      <c r="D27" s="6"/>
      <c r="E27" s="6"/>
      <c r="F27" s="5"/>
      <c r="G27" s="5">
        <f>F27-L26</f>
        <v>0</v>
      </c>
      <c r="H27" s="5">
        <f t="shared" si="0"/>
        <v>0</v>
      </c>
      <c r="I27" s="6"/>
      <c r="J27" s="2"/>
      <c r="L27" s="37"/>
    </row>
    <row r="28" spans="1:12" ht="15.75">
      <c r="A28" s="17" t="s">
        <v>362</v>
      </c>
      <c r="B28" s="64" t="s">
        <v>363</v>
      </c>
      <c r="C28" s="74" t="s">
        <v>100</v>
      </c>
      <c r="D28" s="5">
        <f>SUM(D29:D35)</f>
        <v>3908.11946</v>
      </c>
      <c r="E28" s="5">
        <f>SUM(E29:E35)</f>
        <v>1553.8000000000002</v>
      </c>
      <c r="F28" s="5">
        <f>SUM(F29:F35)</f>
        <v>3634.7415100000003</v>
      </c>
      <c r="G28" s="5">
        <f>SUM(G29:G35)</f>
        <v>3634.7415100000003</v>
      </c>
      <c r="H28" s="5">
        <f t="shared" si="0"/>
        <v>-273.3779499999996</v>
      </c>
      <c r="I28" s="6">
        <f aca="true" t="shared" si="2" ref="I28:I34">F28/D28*100</f>
        <v>93.00487222056411</v>
      </c>
      <c r="J28" s="2"/>
      <c r="L28" s="37"/>
    </row>
    <row r="29" spans="1:12" ht="24" customHeight="1">
      <c r="A29" s="17" t="s">
        <v>362</v>
      </c>
      <c r="B29" s="48" t="s">
        <v>375</v>
      </c>
      <c r="C29" s="18" t="s">
        <v>396</v>
      </c>
      <c r="D29" s="1">
        <v>642.1625</v>
      </c>
      <c r="E29" s="1">
        <v>171.2</v>
      </c>
      <c r="F29" s="4">
        <v>607.76898</v>
      </c>
      <c r="G29" s="5">
        <f aca="true" t="shared" si="3" ref="G29:G35">F29-L28</f>
        <v>607.76898</v>
      </c>
      <c r="H29" s="4">
        <f t="shared" si="0"/>
        <v>-34.39351999999997</v>
      </c>
      <c r="I29" s="1">
        <f t="shared" si="2"/>
        <v>94.64410955171005</v>
      </c>
      <c r="J29" s="2"/>
      <c r="L29" s="37"/>
    </row>
    <row r="30" spans="1:12" ht="15.75">
      <c r="A30" s="17" t="s">
        <v>362</v>
      </c>
      <c r="B30" s="48" t="s">
        <v>376</v>
      </c>
      <c r="C30" s="18" t="s">
        <v>397</v>
      </c>
      <c r="D30" s="1">
        <v>1141.48375</v>
      </c>
      <c r="E30" s="1">
        <v>275.5</v>
      </c>
      <c r="F30" s="4">
        <v>1125.90101</v>
      </c>
      <c r="G30" s="5">
        <f t="shared" si="3"/>
        <v>1125.90101</v>
      </c>
      <c r="H30" s="4">
        <f t="shared" si="0"/>
        <v>-15.582740000000058</v>
      </c>
      <c r="I30" s="1">
        <f t="shared" si="2"/>
        <v>98.63486974737923</v>
      </c>
      <c r="J30" s="2"/>
      <c r="L30" s="37"/>
    </row>
    <row r="31" spans="1:12" ht="33" customHeight="1">
      <c r="A31" s="17" t="s">
        <v>362</v>
      </c>
      <c r="B31" s="48" t="s">
        <v>377</v>
      </c>
      <c r="C31" s="18" t="s">
        <v>398</v>
      </c>
      <c r="D31" s="1">
        <v>829.76821</v>
      </c>
      <c r="E31" s="1">
        <v>185</v>
      </c>
      <c r="F31" s="4">
        <v>799.67864</v>
      </c>
      <c r="G31" s="5">
        <f t="shared" si="3"/>
        <v>799.67864</v>
      </c>
      <c r="H31" s="4">
        <f t="shared" si="0"/>
        <v>-30.08956999999998</v>
      </c>
      <c r="I31" s="1">
        <f t="shared" si="2"/>
        <v>96.37373791410978</v>
      </c>
      <c r="J31" s="2"/>
      <c r="L31" s="37"/>
    </row>
    <row r="32" spans="1:12" ht="18.75" customHeight="1">
      <c r="A32" s="17" t="s">
        <v>362</v>
      </c>
      <c r="B32" s="48" t="s">
        <v>372</v>
      </c>
      <c r="C32" s="18" t="s">
        <v>399</v>
      </c>
      <c r="D32" s="1">
        <v>1018.691</v>
      </c>
      <c r="E32" s="1">
        <v>439.2</v>
      </c>
      <c r="F32" s="4">
        <v>1015.81042</v>
      </c>
      <c r="G32" s="5">
        <f t="shared" si="3"/>
        <v>1015.81042</v>
      </c>
      <c r="H32" s="4">
        <f t="shared" si="0"/>
        <v>-2.880580000000009</v>
      </c>
      <c r="I32" s="1">
        <f t="shared" si="2"/>
        <v>99.71722730445248</v>
      </c>
      <c r="J32" s="2"/>
      <c r="L32" s="37"/>
    </row>
    <row r="33" spans="1:12" ht="35.25" customHeight="1">
      <c r="A33" s="17" t="s">
        <v>362</v>
      </c>
      <c r="B33" s="48" t="s">
        <v>434</v>
      </c>
      <c r="C33" s="18" t="s">
        <v>128</v>
      </c>
      <c r="D33" s="1">
        <v>267.674</v>
      </c>
      <c r="E33" s="1">
        <v>76</v>
      </c>
      <c r="F33" s="4">
        <v>77.24246</v>
      </c>
      <c r="G33" s="5">
        <f t="shared" si="3"/>
        <v>77.24246</v>
      </c>
      <c r="H33" s="4">
        <f t="shared" si="0"/>
        <v>-190.43153999999998</v>
      </c>
      <c r="I33" s="1">
        <f t="shared" si="2"/>
        <v>28.85691550169236</v>
      </c>
      <c r="J33" s="2"/>
      <c r="L33" s="37"/>
    </row>
    <row r="34" spans="1:12" ht="30" customHeight="1">
      <c r="A34" s="19" t="s">
        <v>362</v>
      </c>
      <c r="B34" s="49" t="s">
        <v>422</v>
      </c>
      <c r="C34" s="7" t="s">
        <v>423</v>
      </c>
      <c r="D34" s="1">
        <v>8.34</v>
      </c>
      <c r="E34" s="1">
        <v>4</v>
      </c>
      <c r="F34" s="4">
        <v>8.34</v>
      </c>
      <c r="G34" s="5">
        <f t="shared" si="3"/>
        <v>8.34</v>
      </c>
      <c r="H34" s="4">
        <f t="shared" si="0"/>
        <v>0</v>
      </c>
      <c r="I34" s="1">
        <f t="shared" si="2"/>
        <v>100</v>
      </c>
      <c r="J34" s="2"/>
      <c r="L34" s="37"/>
    </row>
    <row r="35" spans="1:12" ht="1.5" customHeight="1" hidden="1">
      <c r="A35" s="19" t="s">
        <v>362</v>
      </c>
      <c r="B35" s="49" t="s">
        <v>430</v>
      </c>
      <c r="C35" s="18" t="s">
        <v>460</v>
      </c>
      <c r="D35" s="1"/>
      <c r="E35" s="1">
        <v>402.9</v>
      </c>
      <c r="F35" s="4"/>
      <c r="G35" s="5">
        <f t="shared" si="3"/>
        <v>0</v>
      </c>
      <c r="H35" s="4"/>
      <c r="I35" s="1"/>
      <c r="J35" s="2"/>
      <c r="K35" s="2"/>
      <c r="L35" s="2"/>
    </row>
    <row r="36" spans="1:12" ht="15.75" hidden="1">
      <c r="A36" s="17" t="s">
        <v>400</v>
      </c>
      <c r="B36" s="48" t="s">
        <v>299</v>
      </c>
      <c r="C36" s="18" t="s">
        <v>401</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345</v>
      </c>
      <c r="B37" s="48" t="s">
        <v>346</v>
      </c>
      <c r="C37" s="7" t="s">
        <v>426</v>
      </c>
      <c r="D37" s="1"/>
      <c r="E37" s="1"/>
      <c r="F37" s="4"/>
      <c r="G37" s="5">
        <f>F37-L36</f>
        <v>0</v>
      </c>
      <c r="H37" s="4">
        <f t="shared" si="4"/>
        <v>0</v>
      </c>
      <c r="I37" s="1" t="e">
        <f t="shared" si="5"/>
        <v>#DIV/0!</v>
      </c>
      <c r="J37" s="2"/>
      <c r="L37" s="2"/>
    </row>
    <row r="38" spans="1:12" ht="33.75" customHeight="1">
      <c r="A38" s="17" t="s">
        <v>402</v>
      </c>
      <c r="B38" s="64" t="s">
        <v>300</v>
      </c>
      <c r="C38" s="55" t="s">
        <v>101</v>
      </c>
      <c r="D38" s="6">
        <f>D39+D52+D91+D93+D104+D110+D60+D92</f>
        <v>35130.20165</v>
      </c>
      <c r="E38" s="6">
        <f>E39+E52+E91+E93+E104+E110+E60+E92</f>
        <v>5469.299999999999</v>
      </c>
      <c r="F38" s="6">
        <f>F39+F52+F60+F91+F92+F93+F104+F110</f>
        <v>34721.82705</v>
      </c>
      <c r="G38" s="6" t="e">
        <f>G39+G52+G61+G62+#REF!+G83+G87+G90+G91+G93+G104+G111</f>
        <v>#REF!</v>
      </c>
      <c r="H38" s="5">
        <f t="shared" si="4"/>
        <v>-408.37460000000283</v>
      </c>
      <c r="I38" s="6">
        <f t="shared" si="5"/>
        <v>98.83753983518622</v>
      </c>
      <c r="J38" s="2"/>
      <c r="L38" s="2"/>
    </row>
    <row r="39" spans="1:12" ht="31.5">
      <c r="A39" s="17"/>
      <c r="B39" s="79" t="s">
        <v>440</v>
      </c>
      <c r="C39" s="74" t="s">
        <v>102</v>
      </c>
      <c r="D39" s="6">
        <f>SUM(D40:D51)</f>
        <v>2781.4150000000004</v>
      </c>
      <c r="E39" s="6">
        <f>SUM(E40:E51)</f>
        <v>1141.1</v>
      </c>
      <c r="F39" s="6">
        <f>SUM(F40:F51)</f>
        <v>2776.666109999999</v>
      </c>
      <c r="G39" s="6">
        <f>SUM(G40:G50)</f>
        <v>2603.199379999999</v>
      </c>
      <c r="H39" s="5">
        <f t="shared" si="4"/>
        <v>-4.748890000001211</v>
      </c>
      <c r="I39" s="6">
        <f t="shared" si="5"/>
        <v>99.82926352234381</v>
      </c>
      <c r="J39" s="2"/>
      <c r="L39" s="37"/>
    </row>
    <row r="40" spans="1:12" ht="78.75">
      <c r="A40" s="17" t="s">
        <v>301</v>
      </c>
      <c r="B40" s="64" t="s">
        <v>302</v>
      </c>
      <c r="C40" s="83" t="s">
        <v>239</v>
      </c>
      <c r="D40" s="6">
        <v>1086.53</v>
      </c>
      <c r="E40" s="6">
        <v>482.5</v>
      </c>
      <c r="F40" s="5">
        <v>1086.13734</v>
      </c>
      <c r="G40" s="5">
        <f aca="true" t="shared" si="6" ref="G40:G50">F40-L39</f>
        <v>1086.13734</v>
      </c>
      <c r="H40" s="5">
        <f t="shared" si="4"/>
        <v>-0.392659999999978</v>
      </c>
      <c r="I40" s="6">
        <f t="shared" si="5"/>
        <v>99.96386109909528</v>
      </c>
      <c r="J40" s="2"/>
      <c r="L40" s="37"/>
    </row>
    <row r="41" spans="1:12" ht="78.75">
      <c r="A41" s="17" t="s">
        <v>301</v>
      </c>
      <c r="B41" s="64" t="s">
        <v>348</v>
      </c>
      <c r="C41" s="82" t="s">
        <v>239</v>
      </c>
      <c r="D41" s="6">
        <v>2.4532</v>
      </c>
      <c r="E41" s="6">
        <v>10.7</v>
      </c>
      <c r="F41" s="5">
        <v>2.45312</v>
      </c>
      <c r="G41" s="5">
        <f t="shared" si="6"/>
        <v>2.45312</v>
      </c>
      <c r="H41" s="5">
        <f t="shared" si="4"/>
        <v>-7.999999999963592E-05</v>
      </c>
      <c r="I41" s="6">
        <f t="shared" si="5"/>
        <v>99.99673895320399</v>
      </c>
      <c r="J41" s="2"/>
      <c r="L41" s="37"/>
    </row>
    <row r="42" spans="1:12" ht="78.75">
      <c r="A42" s="17" t="s">
        <v>301</v>
      </c>
      <c r="B42" s="64" t="s">
        <v>349</v>
      </c>
      <c r="C42" s="82" t="s">
        <v>240</v>
      </c>
      <c r="D42" s="6">
        <v>16.05</v>
      </c>
      <c r="E42" s="6">
        <v>105.6</v>
      </c>
      <c r="F42" s="5">
        <v>16.04629</v>
      </c>
      <c r="G42" s="5">
        <f t="shared" si="6"/>
        <v>16.04629</v>
      </c>
      <c r="H42" s="5">
        <f t="shared" si="4"/>
        <v>-0.0037100000000016564</v>
      </c>
      <c r="I42" s="6">
        <f t="shared" si="5"/>
        <v>99.97688473520249</v>
      </c>
      <c r="J42" s="2"/>
      <c r="L42" s="37"/>
    </row>
    <row r="43" spans="1:12" ht="78.75">
      <c r="A43" s="17" t="s">
        <v>301</v>
      </c>
      <c r="B43" s="64" t="s">
        <v>350</v>
      </c>
      <c r="C43" s="84" t="s">
        <v>241</v>
      </c>
      <c r="D43" s="6">
        <v>311.5</v>
      </c>
      <c r="E43" s="6">
        <v>108.4</v>
      </c>
      <c r="F43" s="5">
        <v>310.79352</v>
      </c>
      <c r="G43" s="5">
        <f t="shared" si="6"/>
        <v>310.79352</v>
      </c>
      <c r="H43" s="5">
        <f t="shared" si="4"/>
        <v>-0.7064799999999991</v>
      </c>
      <c r="I43" s="6">
        <f t="shared" si="5"/>
        <v>99.77320064205458</v>
      </c>
      <c r="J43" s="2"/>
      <c r="L43" s="37"/>
    </row>
    <row r="44" spans="1:12" ht="67.5" customHeight="1" hidden="1">
      <c r="A44" s="17" t="s">
        <v>301</v>
      </c>
      <c r="B44" s="64" t="s">
        <v>429</v>
      </c>
      <c r="C44" s="81" t="s">
        <v>11</v>
      </c>
      <c r="D44" s="6">
        <v>0</v>
      </c>
      <c r="E44" s="6">
        <v>0.2</v>
      </c>
      <c r="F44" s="5">
        <v>0</v>
      </c>
      <c r="G44" s="5">
        <f t="shared" si="6"/>
        <v>0</v>
      </c>
      <c r="H44" s="5">
        <f t="shared" si="4"/>
        <v>0</v>
      </c>
      <c r="I44" s="6" t="e">
        <f t="shared" si="5"/>
        <v>#DIV/0!</v>
      </c>
      <c r="J44" s="2"/>
      <c r="L44" s="37"/>
    </row>
    <row r="45" spans="1:12" ht="0.75" customHeight="1" hidden="1">
      <c r="A45" s="17" t="s">
        <v>301</v>
      </c>
      <c r="B45" s="64" t="s">
        <v>387</v>
      </c>
      <c r="C45" s="63" t="s">
        <v>6</v>
      </c>
      <c r="D45" s="6"/>
      <c r="E45" s="6">
        <v>5</v>
      </c>
      <c r="F45" s="5"/>
      <c r="G45" s="5">
        <f t="shared" si="6"/>
        <v>0</v>
      </c>
      <c r="H45" s="5">
        <f t="shared" si="4"/>
        <v>0</v>
      </c>
      <c r="I45" s="6" t="e">
        <f t="shared" si="5"/>
        <v>#DIV/0!</v>
      </c>
      <c r="J45" s="2"/>
      <c r="L45" s="37"/>
    </row>
    <row r="46" spans="1:12" ht="77.25" customHeight="1">
      <c r="A46" s="17" t="s">
        <v>326</v>
      </c>
      <c r="B46" s="64" t="s">
        <v>368</v>
      </c>
      <c r="C46" s="83" t="s">
        <v>142</v>
      </c>
      <c r="D46" s="6">
        <v>789.22</v>
      </c>
      <c r="E46" s="6">
        <v>286.4</v>
      </c>
      <c r="F46" s="5">
        <v>788.762</v>
      </c>
      <c r="G46" s="5">
        <f t="shared" si="6"/>
        <v>788.762</v>
      </c>
      <c r="H46" s="5">
        <f t="shared" si="4"/>
        <v>-0.4580000000000837</v>
      </c>
      <c r="I46" s="6">
        <f t="shared" si="5"/>
        <v>99.94196801905679</v>
      </c>
      <c r="J46" s="2"/>
      <c r="L46" s="37"/>
    </row>
    <row r="47" spans="1:12" ht="73.5" customHeight="1">
      <c r="A47" s="17" t="s">
        <v>326</v>
      </c>
      <c r="B47" s="64" t="s">
        <v>433</v>
      </c>
      <c r="C47" s="82" t="s">
        <v>143</v>
      </c>
      <c r="D47" s="6">
        <v>0.4978</v>
      </c>
      <c r="E47" s="6">
        <v>0.3</v>
      </c>
      <c r="F47" s="5">
        <v>0.4978</v>
      </c>
      <c r="G47" s="5">
        <f t="shared" si="6"/>
        <v>0.4978</v>
      </c>
      <c r="H47" s="5">
        <f t="shared" si="4"/>
        <v>0</v>
      </c>
      <c r="I47" s="6">
        <f t="shared" si="5"/>
        <v>100</v>
      </c>
      <c r="J47" s="2"/>
      <c r="L47" s="37"/>
    </row>
    <row r="48" spans="1:12" ht="67.5" customHeight="1">
      <c r="A48" s="17" t="s">
        <v>326</v>
      </c>
      <c r="B48" s="64" t="s">
        <v>369</v>
      </c>
      <c r="C48" s="82" t="s">
        <v>144</v>
      </c>
      <c r="D48" s="6">
        <v>27.025</v>
      </c>
      <c r="E48" s="6">
        <v>56.5</v>
      </c>
      <c r="F48" s="5">
        <v>27.02386</v>
      </c>
      <c r="G48" s="5">
        <f t="shared" si="6"/>
        <v>27.02386</v>
      </c>
      <c r="H48" s="5">
        <f t="shared" si="4"/>
        <v>-0.0011399999999994748</v>
      </c>
      <c r="I48" s="6">
        <f t="shared" si="5"/>
        <v>99.99578168362628</v>
      </c>
      <c r="J48" s="2"/>
      <c r="L48" s="37"/>
    </row>
    <row r="49" spans="1:12" ht="48.75" customHeight="1">
      <c r="A49" s="17" t="s">
        <v>326</v>
      </c>
      <c r="B49" s="64" t="s">
        <v>439</v>
      </c>
      <c r="C49" s="82" t="s">
        <v>145</v>
      </c>
      <c r="D49" s="6">
        <v>171.95</v>
      </c>
      <c r="E49" s="6">
        <v>50.6</v>
      </c>
      <c r="F49" s="5">
        <v>171.94973</v>
      </c>
      <c r="G49" s="5">
        <f t="shared" si="6"/>
        <v>171.94973</v>
      </c>
      <c r="H49" s="5">
        <f t="shared" si="4"/>
        <v>-0.00027000000000043656</v>
      </c>
      <c r="I49" s="6">
        <f t="shared" si="5"/>
        <v>99.99984297760976</v>
      </c>
      <c r="J49" s="2"/>
      <c r="L49" s="37"/>
    </row>
    <row r="50" spans="1:12" ht="31.5">
      <c r="A50" s="17" t="s">
        <v>326</v>
      </c>
      <c r="B50" s="64" t="s">
        <v>459</v>
      </c>
      <c r="C50" s="82" t="s">
        <v>146</v>
      </c>
      <c r="D50" s="6">
        <v>199.539</v>
      </c>
      <c r="E50" s="6">
        <v>34.9</v>
      </c>
      <c r="F50" s="5">
        <v>199.53572</v>
      </c>
      <c r="G50" s="5">
        <f t="shared" si="6"/>
        <v>199.53572</v>
      </c>
      <c r="H50" s="5">
        <f t="shared" si="4"/>
        <v>-0.0032799999999895135</v>
      </c>
      <c r="I50" s="6">
        <f t="shared" si="5"/>
        <v>99.99835621106651</v>
      </c>
      <c r="J50" s="2"/>
      <c r="K50" s="2"/>
      <c r="L50" s="2"/>
    </row>
    <row r="51" spans="1:12" ht="18.75" customHeight="1">
      <c r="A51" s="17" t="s">
        <v>326</v>
      </c>
      <c r="B51" s="64" t="s">
        <v>14</v>
      </c>
      <c r="C51" s="83" t="s">
        <v>147</v>
      </c>
      <c r="D51" s="6">
        <v>176.65</v>
      </c>
      <c r="E51" s="6"/>
      <c r="F51" s="5">
        <v>173.46673</v>
      </c>
      <c r="G51" s="5"/>
      <c r="H51" s="5">
        <f t="shared" si="4"/>
        <v>-3.183269999999993</v>
      </c>
      <c r="I51" s="6">
        <f t="shared" si="5"/>
        <v>98.19797905462781</v>
      </c>
      <c r="J51" s="2"/>
      <c r="K51" s="2"/>
      <c r="L51" s="2"/>
    </row>
    <row r="52" spans="1:12" ht="31.5">
      <c r="A52" s="17"/>
      <c r="B52" s="79" t="s">
        <v>441</v>
      </c>
      <c r="C52" s="63" t="s">
        <v>103</v>
      </c>
      <c r="D52" s="6">
        <f>SUM(D53:D59)</f>
        <v>24041.047319999998</v>
      </c>
      <c r="E52" s="6">
        <f>SUM(E53:E59)</f>
        <v>1842.6999999999998</v>
      </c>
      <c r="F52" s="6">
        <f>SUM(F53:F59)</f>
        <v>23826.759670000003</v>
      </c>
      <c r="G52" s="6">
        <f>SUM(G53:G57)</f>
        <v>23272.10395</v>
      </c>
      <c r="H52" s="5">
        <f t="shared" si="4"/>
        <v>-214.28764999999476</v>
      </c>
      <c r="I52" s="6">
        <f t="shared" si="5"/>
        <v>99.10865925619751</v>
      </c>
      <c r="J52" s="2"/>
      <c r="L52" s="38"/>
    </row>
    <row r="53" spans="1:12" ht="19.5" customHeight="1">
      <c r="A53" s="17" t="s">
        <v>304</v>
      </c>
      <c r="B53" s="64" t="s">
        <v>351</v>
      </c>
      <c r="C53" s="55" t="s">
        <v>148</v>
      </c>
      <c r="D53" s="6">
        <v>289.136</v>
      </c>
      <c r="E53" s="6">
        <v>73.9</v>
      </c>
      <c r="F53" s="5">
        <v>282.59569</v>
      </c>
      <c r="G53" s="5">
        <f aca="true" t="shared" si="7" ref="G53:G58">F53-L52</f>
        <v>282.59569</v>
      </c>
      <c r="H53" s="5">
        <f t="shared" si="4"/>
        <v>-6.540310000000034</v>
      </c>
      <c r="I53" s="6">
        <f t="shared" si="5"/>
        <v>97.7379814343423</v>
      </c>
      <c r="J53" s="2"/>
      <c r="L53" s="37"/>
    </row>
    <row r="54" spans="1:12" ht="19.5" customHeight="1">
      <c r="A54" s="17" t="s">
        <v>304</v>
      </c>
      <c r="B54" s="64" t="s">
        <v>352</v>
      </c>
      <c r="C54" s="55" t="s">
        <v>149</v>
      </c>
      <c r="D54" s="6">
        <v>4034.923</v>
      </c>
      <c r="E54" s="6">
        <v>616.3</v>
      </c>
      <c r="F54" s="5">
        <v>4028.3278</v>
      </c>
      <c r="G54" s="5">
        <f t="shared" si="7"/>
        <v>4028.3278</v>
      </c>
      <c r="H54" s="5">
        <f t="shared" si="4"/>
        <v>-6.59519999999975</v>
      </c>
      <c r="I54" s="6">
        <f t="shared" si="5"/>
        <v>99.83654706669743</v>
      </c>
      <c r="J54" s="2"/>
      <c r="L54" s="37"/>
    </row>
    <row r="55" spans="1:12" ht="18.75" customHeight="1">
      <c r="A55" s="17" t="s">
        <v>304</v>
      </c>
      <c r="B55" s="64" t="s">
        <v>353</v>
      </c>
      <c r="C55" s="55" t="s">
        <v>150</v>
      </c>
      <c r="D55" s="6">
        <v>14949.41841</v>
      </c>
      <c r="E55" s="6">
        <v>640.5</v>
      </c>
      <c r="F55" s="5">
        <v>14782.95318</v>
      </c>
      <c r="G55" s="5">
        <f t="shared" si="7"/>
        <v>14782.95318</v>
      </c>
      <c r="H55" s="5">
        <f t="shared" si="4"/>
        <v>-166.4652299999998</v>
      </c>
      <c r="I55" s="6">
        <f t="shared" si="5"/>
        <v>98.8864768820127</v>
      </c>
      <c r="J55" s="2"/>
      <c r="L55" s="37"/>
    </row>
    <row r="56" spans="1:12" ht="31.5">
      <c r="A56" s="17" t="s">
        <v>304</v>
      </c>
      <c r="B56" s="64" t="s">
        <v>354</v>
      </c>
      <c r="C56" s="55" t="s">
        <v>151</v>
      </c>
      <c r="D56" s="6">
        <v>1785.38699</v>
      </c>
      <c r="E56" s="6">
        <v>137.2</v>
      </c>
      <c r="F56" s="5">
        <v>1751.33647</v>
      </c>
      <c r="G56" s="5">
        <f t="shared" si="7"/>
        <v>1751.33647</v>
      </c>
      <c r="H56" s="5">
        <f t="shared" si="4"/>
        <v>-34.050520000000006</v>
      </c>
      <c r="I56" s="6">
        <f t="shared" si="5"/>
        <v>98.09282132161162</v>
      </c>
      <c r="J56" s="2"/>
      <c r="L56" s="37"/>
    </row>
    <row r="57" spans="1:12" ht="18.75" customHeight="1">
      <c r="A57" s="17" t="s">
        <v>304</v>
      </c>
      <c r="B57" s="64" t="s">
        <v>355</v>
      </c>
      <c r="C57" s="55" t="s">
        <v>152</v>
      </c>
      <c r="D57" s="6">
        <v>2426.89105</v>
      </c>
      <c r="E57" s="6">
        <v>336.9</v>
      </c>
      <c r="F57" s="5">
        <v>2426.89081</v>
      </c>
      <c r="G57" s="5">
        <f t="shared" si="7"/>
        <v>2426.89081</v>
      </c>
      <c r="H57" s="5">
        <f t="shared" si="4"/>
        <v>-0.00024000000030355295</v>
      </c>
      <c r="I57" s="6">
        <f t="shared" si="5"/>
        <v>99.9999901108045</v>
      </c>
      <c r="J57" s="2"/>
      <c r="L57" s="37"/>
    </row>
    <row r="58" spans="1:12" ht="20.25" customHeight="1">
      <c r="A58" s="17" t="s">
        <v>304</v>
      </c>
      <c r="B58" s="64" t="s">
        <v>436</v>
      </c>
      <c r="C58" s="55" t="s">
        <v>153</v>
      </c>
      <c r="D58" s="6">
        <v>497.821</v>
      </c>
      <c r="E58" s="6">
        <v>37.9</v>
      </c>
      <c r="F58" s="5">
        <v>497.82068</v>
      </c>
      <c r="G58" s="5">
        <f t="shared" si="7"/>
        <v>497.82068</v>
      </c>
      <c r="H58" s="5">
        <f t="shared" si="4"/>
        <v>-0.00032000000004472895</v>
      </c>
      <c r="I58" s="6">
        <f t="shared" si="5"/>
        <v>99.99993571986717</v>
      </c>
      <c r="J58" s="2"/>
      <c r="L58" s="37"/>
    </row>
    <row r="59" spans="1:12" ht="17.25" customHeight="1">
      <c r="A59" s="17" t="s">
        <v>304</v>
      </c>
      <c r="B59" s="64" t="s">
        <v>13</v>
      </c>
      <c r="C59" s="55" t="s">
        <v>154</v>
      </c>
      <c r="D59" s="6">
        <v>57.47087</v>
      </c>
      <c r="E59" s="6"/>
      <c r="F59" s="5">
        <v>56.83504</v>
      </c>
      <c r="G59" s="5"/>
      <c r="H59" s="5">
        <f t="shared" si="4"/>
        <v>-0.6358299999999986</v>
      </c>
      <c r="I59" s="6">
        <f t="shared" si="5"/>
        <v>98.893648208214</v>
      </c>
      <c r="J59" s="2"/>
      <c r="L59" s="37"/>
    </row>
    <row r="60" spans="1:12" ht="18" customHeight="1">
      <c r="A60" s="17"/>
      <c r="B60" s="64" t="s">
        <v>461</v>
      </c>
      <c r="C60" s="63" t="s">
        <v>104</v>
      </c>
      <c r="D60" s="6">
        <f>D61+D62+D64+D83+D87+D90+D66+D88+D89+D65+D81+D63+D82+D84+D85+D86</f>
        <v>2864.48581</v>
      </c>
      <c r="E60" s="6">
        <f>E61+E62+E64+E83+E87+E90+E66+E88+E89+E65+E81+E63+E82+E84+E85+E86</f>
        <v>949.1999999999999</v>
      </c>
      <c r="F60" s="6">
        <f>F61+F62+F64+F83+F87+F90+F66+F88+F89+F65+F81+F63+F82+F84+F85+F86</f>
        <v>2817.7018900000003</v>
      </c>
      <c r="G60" s="6">
        <f>G61+G62+G64+G83+G87+G90+G66+G88+G89+G65+G81</f>
        <v>2618.9561300000005</v>
      </c>
      <c r="H60" s="5">
        <f t="shared" si="4"/>
        <v>-46.78391999999985</v>
      </c>
      <c r="I60" s="6">
        <f t="shared" si="5"/>
        <v>98.3667602807919</v>
      </c>
      <c r="J60" s="2"/>
      <c r="L60" s="37"/>
    </row>
    <row r="61" spans="1:12" ht="30.75" customHeight="1">
      <c r="A61" s="17" t="s">
        <v>304</v>
      </c>
      <c r="B61" s="64" t="s">
        <v>305</v>
      </c>
      <c r="C61" s="55" t="s">
        <v>155</v>
      </c>
      <c r="D61" s="6">
        <v>1205.49568</v>
      </c>
      <c r="E61" s="6">
        <v>256.9</v>
      </c>
      <c r="F61" s="5">
        <v>1205.25708</v>
      </c>
      <c r="G61" s="5">
        <f>F61-L60</f>
        <v>1205.25708</v>
      </c>
      <c r="H61" s="5">
        <f t="shared" si="4"/>
        <v>-0.23859999999990578</v>
      </c>
      <c r="I61" s="6">
        <f t="shared" si="5"/>
        <v>99.98020731190013</v>
      </c>
      <c r="J61" s="2"/>
      <c r="L61" s="37"/>
    </row>
    <row r="62" spans="1:12" ht="48" customHeight="1">
      <c r="A62" s="17" t="s">
        <v>303</v>
      </c>
      <c r="B62" s="64" t="s">
        <v>336</v>
      </c>
      <c r="C62" s="55" t="s">
        <v>156</v>
      </c>
      <c r="D62" s="6">
        <v>432.9</v>
      </c>
      <c r="E62" s="6">
        <v>28.4</v>
      </c>
      <c r="F62" s="5">
        <v>432.57935</v>
      </c>
      <c r="G62" s="5">
        <f>F62-L61</f>
        <v>432.57935</v>
      </c>
      <c r="H62" s="5">
        <f t="shared" si="4"/>
        <v>-0.32065000000000055</v>
      </c>
      <c r="I62" s="6">
        <f t="shared" si="5"/>
        <v>99.92592977592977</v>
      </c>
      <c r="J62" s="2"/>
      <c r="L62" s="2"/>
    </row>
    <row r="63" spans="1:12" ht="47.25" hidden="1">
      <c r="A63" s="17"/>
      <c r="B63" s="64" t="s">
        <v>41</v>
      </c>
      <c r="C63" s="55" t="s">
        <v>157</v>
      </c>
      <c r="D63" s="6">
        <v>0</v>
      </c>
      <c r="E63" s="6"/>
      <c r="F63" s="6">
        <v>0</v>
      </c>
      <c r="G63" s="5"/>
      <c r="H63" s="5">
        <f t="shared" si="4"/>
        <v>0</v>
      </c>
      <c r="I63" s="6" t="e">
        <f t="shared" si="5"/>
        <v>#DIV/0!</v>
      </c>
      <c r="J63" s="2"/>
      <c r="L63" s="2"/>
    </row>
    <row r="64" spans="1:12" ht="34.5" customHeight="1">
      <c r="A64" s="17" t="s">
        <v>308</v>
      </c>
      <c r="B64" s="64" t="s">
        <v>309</v>
      </c>
      <c r="C64" s="74" t="s">
        <v>158</v>
      </c>
      <c r="D64" s="6">
        <v>852.98342</v>
      </c>
      <c r="E64" s="6">
        <v>605.1</v>
      </c>
      <c r="F64" s="6">
        <v>821.52118</v>
      </c>
      <c r="G64" s="5">
        <f>F64-L63</f>
        <v>821.52118</v>
      </c>
      <c r="H64" s="5">
        <f t="shared" si="4"/>
        <v>-31.462240000000065</v>
      </c>
      <c r="I64" s="6">
        <f t="shared" si="5"/>
        <v>96.31150626585449</v>
      </c>
      <c r="J64" s="2"/>
      <c r="L64" s="39"/>
    </row>
    <row r="65" spans="1:12" ht="31.5">
      <c r="A65" s="17" t="s">
        <v>308</v>
      </c>
      <c r="B65" s="64" t="s">
        <v>309</v>
      </c>
      <c r="C65" s="74" t="s">
        <v>159</v>
      </c>
      <c r="D65" s="6">
        <v>35.286</v>
      </c>
      <c r="E65" s="6"/>
      <c r="F65" s="6">
        <v>35.2854</v>
      </c>
      <c r="G65" s="5"/>
      <c r="H65" s="5">
        <f t="shared" si="4"/>
        <v>-0.0005999999999986017</v>
      </c>
      <c r="I65" s="6">
        <f t="shared" si="5"/>
        <v>99.99829960891006</v>
      </c>
      <c r="J65" s="2"/>
      <c r="L65" s="39"/>
    </row>
    <row r="66" spans="1:12" ht="33" customHeight="1">
      <c r="A66" s="17" t="s">
        <v>308</v>
      </c>
      <c r="B66" s="64" t="s">
        <v>309</v>
      </c>
      <c r="C66" s="74" t="s">
        <v>160</v>
      </c>
      <c r="D66" s="6">
        <v>90</v>
      </c>
      <c r="E66" s="6">
        <v>13</v>
      </c>
      <c r="F66" s="5">
        <v>89.972</v>
      </c>
      <c r="G66" s="5">
        <f>F66-L64</f>
        <v>89.972</v>
      </c>
      <c r="H66" s="5">
        <f t="shared" si="4"/>
        <v>-0.028000000000005798</v>
      </c>
      <c r="I66" s="6">
        <f t="shared" si="5"/>
        <v>99.96888888888888</v>
      </c>
      <c r="J66" s="2"/>
      <c r="L66" s="39"/>
    </row>
    <row r="67" spans="1:12" ht="30" customHeight="1" hidden="1">
      <c r="A67" s="17" t="s">
        <v>308</v>
      </c>
      <c r="B67" s="64" t="s">
        <v>309</v>
      </c>
      <c r="C67" s="74" t="s">
        <v>77</v>
      </c>
      <c r="D67" s="6"/>
      <c r="E67" s="6">
        <v>13</v>
      </c>
      <c r="F67" s="5"/>
      <c r="G67" s="5">
        <f aca="true" t="shared" si="8" ref="G67:G80">F67-L66</f>
        <v>0</v>
      </c>
      <c r="H67" s="5">
        <f t="shared" si="4"/>
        <v>0</v>
      </c>
      <c r="I67" s="6" t="e">
        <f t="shared" si="5"/>
        <v>#DIV/0!</v>
      </c>
      <c r="J67" s="2"/>
      <c r="L67" s="39"/>
    </row>
    <row r="68" spans="1:12" ht="30.75" customHeight="1" hidden="1">
      <c r="A68" s="17" t="s">
        <v>308</v>
      </c>
      <c r="B68" s="64" t="s">
        <v>309</v>
      </c>
      <c r="C68" s="74" t="s">
        <v>410</v>
      </c>
      <c r="D68" s="6"/>
      <c r="E68" s="6">
        <v>5</v>
      </c>
      <c r="F68" s="5"/>
      <c r="G68" s="5">
        <f t="shared" si="8"/>
        <v>0</v>
      </c>
      <c r="H68" s="5">
        <f aca="true" t="shared" si="9" ref="H68:H92">F68-D68</f>
        <v>0</v>
      </c>
      <c r="I68" s="6" t="e">
        <f aca="true" t="shared" si="10" ref="I68:I102">F68/D68*100</f>
        <v>#DIV/0!</v>
      </c>
      <c r="J68" s="2"/>
      <c r="L68" s="39"/>
    </row>
    <row r="69" spans="1:12" ht="31.5" customHeight="1" hidden="1">
      <c r="A69" s="17" t="s">
        <v>308</v>
      </c>
      <c r="B69" s="64" t="s">
        <v>309</v>
      </c>
      <c r="C69" s="74" t="s">
        <v>386</v>
      </c>
      <c r="D69" s="6"/>
      <c r="E69" s="6">
        <v>3</v>
      </c>
      <c r="F69" s="5"/>
      <c r="G69" s="5">
        <f t="shared" si="8"/>
        <v>0</v>
      </c>
      <c r="H69" s="5">
        <f t="shared" si="9"/>
        <v>0</v>
      </c>
      <c r="I69" s="6" t="e">
        <f t="shared" si="10"/>
        <v>#DIV/0!</v>
      </c>
      <c r="J69" s="2"/>
      <c r="L69" s="39"/>
    </row>
    <row r="70" spans="1:12" ht="33" customHeight="1" hidden="1">
      <c r="A70" s="17" t="s">
        <v>308</v>
      </c>
      <c r="B70" s="64" t="s">
        <v>309</v>
      </c>
      <c r="C70" s="74" t="s">
        <v>381</v>
      </c>
      <c r="D70" s="6"/>
      <c r="E70" s="6">
        <v>5</v>
      </c>
      <c r="F70" s="5"/>
      <c r="G70" s="5">
        <f t="shared" si="8"/>
        <v>0</v>
      </c>
      <c r="H70" s="5">
        <f t="shared" si="9"/>
        <v>0</v>
      </c>
      <c r="I70" s="6" t="e">
        <f t="shared" si="10"/>
        <v>#DIV/0!</v>
      </c>
      <c r="J70" s="2"/>
      <c r="L70" s="39"/>
    </row>
    <row r="71" spans="1:12" ht="29.25" customHeight="1" hidden="1">
      <c r="A71" s="17" t="s">
        <v>308</v>
      </c>
      <c r="B71" s="64" t="s">
        <v>309</v>
      </c>
      <c r="C71" s="74" t="s">
        <v>403</v>
      </c>
      <c r="D71" s="6"/>
      <c r="E71" s="6">
        <v>5</v>
      </c>
      <c r="F71" s="5"/>
      <c r="G71" s="5">
        <f t="shared" si="8"/>
        <v>0</v>
      </c>
      <c r="H71" s="5">
        <f t="shared" si="9"/>
        <v>0</v>
      </c>
      <c r="I71" s="6" t="e">
        <f t="shared" si="10"/>
        <v>#DIV/0!</v>
      </c>
      <c r="J71" s="2"/>
      <c r="L71" s="39"/>
    </row>
    <row r="72" spans="1:12" ht="31.5" customHeight="1" hidden="1">
      <c r="A72" s="17" t="s">
        <v>308</v>
      </c>
      <c r="B72" s="64" t="s">
        <v>309</v>
      </c>
      <c r="C72" s="74" t="s">
        <v>379</v>
      </c>
      <c r="D72" s="6"/>
      <c r="E72" s="6">
        <v>45</v>
      </c>
      <c r="F72" s="5"/>
      <c r="G72" s="5">
        <f t="shared" si="8"/>
        <v>0</v>
      </c>
      <c r="H72" s="5">
        <f t="shared" si="9"/>
        <v>0</v>
      </c>
      <c r="I72" s="6" t="e">
        <f t="shared" si="10"/>
        <v>#DIV/0!</v>
      </c>
      <c r="J72" s="2"/>
      <c r="L72" s="39"/>
    </row>
    <row r="73" spans="1:12" ht="30" customHeight="1" hidden="1">
      <c r="A73" s="17" t="s">
        <v>308</v>
      </c>
      <c r="B73" s="64" t="s">
        <v>309</v>
      </c>
      <c r="C73" s="74" t="s">
        <v>390</v>
      </c>
      <c r="D73" s="6"/>
      <c r="E73" s="6">
        <v>36</v>
      </c>
      <c r="F73" s="5"/>
      <c r="G73" s="5">
        <f t="shared" si="8"/>
        <v>0</v>
      </c>
      <c r="H73" s="5">
        <f t="shared" si="9"/>
        <v>0</v>
      </c>
      <c r="I73" s="6" t="e">
        <f t="shared" si="10"/>
        <v>#DIV/0!</v>
      </c>
      <c r="J73" s="2"/>
      <c r="L73" s="39"/>
    </row>
    <row r="74" spans="1:12" ht="33.75" customHeight="1" hidden="1">
      <c r="A74" s="17" t="s">
        <v>308</v>
      </c>
      <c r="B74" s="64" t="s">
        <v>309</v>
      </c>
      <c r="C74" s="74" t="s">
        <v>380</v>
      </c>
      <c r="D74" s="6"/>
      <c r="E74" s="6">
        <v>4.5</v>
      </c>
      <c r="F74" s="5"/>
      <c r="G74" s="5">
        <f t="shared" si="8"/>
        <v>0</v>
      </c>
      <c r="H74" s="5">
        <f t="shared" si="9"/>
        <v>0</v>
      </c>
      <c r="I74" s="6" t="e">
        <f t="shared" si="10"/>
        <v>#DIV/0!</v>
      </c>
      <c r="J74" s="2"/>
      <c r="L74" s="39"/>
    </row>
    <row r="75" spans="1:12" ht="33" customHeight="1" hidden="1">
      <c r="A75" s="17" t="s">
        <v>308</v>
      </c>
      <c r="B75" s="64" t="s">
        <v>309</v>
      </c>
      <c r="C75" s="63" t="s">
        <v>411</v>
      </c>
      <c r="D75" s="6"/>
      <c r="E75" s="6">
        <v>6</v>
      </c>
      <c r="F75" s="5"/>
      <c r="G75" s="5">
        <f t="shared" si="8"/>
        <v>0</v>
      </c>
      <c r="H75" s="5">
        <f t="shared" si="9"/>
        <v>0</v>
      </c>
      <c r="I75" s="6" t="e">
        <f t="shared" si="10"/>
        <v>#DIV/0!</v>
      </c>
      <c r="J75" s="2"/>
      <c r="L75" s="39"/>
    </row>
    <row r="76" spans="1:12" ht="33.75" customHeight="1" hidden="1">
      <c r="A76" s="17" t="s">
        <v>308</v>
      </c>
      <c r="B76" s="64" t="s">
        <v>309</v>
      </c>
      <c r="C76" s="74" t="s">
        <v>378</v>
      </c>
      <c r="D76" s="6"/>
      <c r="E76" s="6">
        <v>15</v>
      </c>
      <c r="F76" s="5"/>
      <c r="G76" s="5">
        <f t="shared" si="8"/>
        <v>0</v>
      </c>
      <c r="H76" s="5">
        <f t="shared" si="9"/>
        <v>0</v>
      </c>
      <c r="I76" s="6" t="e">
        <f t="shared" si="10"/>
        <v>#DIV/0!</v>
      </c>
      <c r="J76" s="2"/>
      <c r="L76" s="39"/>
    </row>
    <row r="77" spans="1:12" ht="36.75" customHeight="1" hidden="1">
      <c r="A77" s="17" t="s">
        <v>308</v>
      </c>
      <c r="B77" s="64" t="s">
        <v>309</v>
      </c>
      <c r="C77" s="74" t="s">
        <v>408</v>
      </c>
      <c r="D77" s="6"/>
      <c r="E77" s="6">
        <v>70</v>
      </c>
      <c r="F77" s="5"/>
      <c r="G77" s="5">
        <f t="shared" si="8"/>
        <v>0</v>
      </c>
      <c r="H77" s="5">
        <f t="shared" si="9"/>
        <v>0</v>
      </c>
      <c r="I77" s="6" t="e">
        <f t="shared" si="10"/>
        <v>#DIV/0!</v>
      </c>
      <c r="J77" s="2"/>
      <c r="L77" s="39"/>
    </row>
    <row r="78" spans="1:12" ht="39" customHeight="1" hidden="1">
      <c r="A78" s="17" t="s">
        <v>308</v>
      </c>
      <c r="B78" s="64" t="s">
        <v>309</v>
      </c>
      <c r="C78" s="74" t="s">
        <v>407</v>
      </c>
      <c r="D78" s="6"/>
      <c r="E78" s="6">
        <v>40</v>
      </c>
      <c r="F78" s="5"/>
      <c r="G78" s="5">
        <f t="shared" si="8"/>
        <v>0</v>
      </c>
      <c r="H78" s="5">
        <f t="shared" si="9"/>
        <v>0</v>
      </c>
      <c r="I78" s="6" t="e">
        <f t="shared" si="10"/>
        <v>#DIV/0!</v>
      </c>
      <c r="J78" s="2"/>
      <c r="L78" s="39"/>
    </row>
    <row r="79" spans="1:12" ht="42.75" customHeight="1" hidden="1">
      <c r="A79" s="17" t="s">
        <v>308</v>
      </c>
      <c r="B79" s="64" t="s">
        <v>309</v>
      </c>
      <c r="C79" s="74" t="s">
        <v>385</v>
      </c>
      <c r="D79" s="6"/>
      <c r="E79" s="6">
        <v>6</v>
      </c>
      <c r="F79" s="5"/>
      <c r="G79" s="5">
        <f t="shared" si="8"/>
        <v>0</v>
      </c>
      <c r="H79" s="5">
        <f t="shared" si="9"/>
        <v>0</v>
      </c>
      <c r="I79" s="6" t="e">
        <f t="shared" si="10"/>
        <v>#DIV/0!</v>
      </c>
      <c r="J79" s="2"/>
      <c r="L79" s="39"/>
    </row>
    <row r="80" spans="1:12" ht="44.25" customHeight="1" hidden="1">
      <c r="A80" s="17" t="s">
        <v>308</v>
      </c>
      <c r="B80" s="64" t="s">
        <v>309</v>
      </c>
      <c r="C80" s="63" t="s">
        <v>409</v>
      </c>
      <c r="D80" s="6"/>
      <c r="E80" s="6">
        <v>20</v>
      </c>
      <c r="F80" s="5"/>
      <c r="G80" s="5">
        <f t="shared" si="8"/>
        <v>0</v>
      </c>
      <c r="H80" s="5">
        <f t="shared" si="9"/>
        <v>0</v>
      </c>
      <c r="I80" s="6" t="e">
        <f t="shared" si="10"/>
        <v>#DIV/0!</v>
      </c>
      <c r="J80" s="2"/>
      <c r="L80" s="37"/>
    </row>
    <row r="81" spans="1:12" ht="47.25">
      <c r="A81" s="17"/>
      <c r="B81" s="64" t="s">
        <v>18</v>
      </c>
      <c r="C81" s="63" t="s">
        <v>61</v>
      </c>
      <c r="D81" s="6">
        <v>7.525</v>
      </c>
      <c r="E81" s="6"/>
      <c r="F81" s="5">
        <v>7.52458</v>
      </c>
      <c r="G81" s="5"/>
      <c r="H81" s="5">
        <f t="shared" si="9"/>
        <v>-0.00042000000000008697</v>
      </c>
      <c r="I81" s="6">
        <f t="shared" si="10"/>
        <v>99.99441860465116</v>
      </c>
      <c r="J81" s="2"/>
      <c r="L81" s="37"/>
    </row>
    <row r="82" spans="1:12" ht="46.5" customHeight="1">
      <c r="A82" s="17"/>
      <c r="B82" s="64" t="s">
        <v>18</v>
      </c>
      <c r="C82" s="63" t="s">
        <v>162</v>
      </c>
      <c r="D82" s="6">
        <v>34</v>
      </c>
      <c r="E82" s="6"/>
      <c r="F82" s="5">
        <v>33</v>
      </c>
      <c r="G82" s="5"/>
      <c r="H82" s="5">
        <f t="shared" si="9"/>
        <v>-1</v>
      </c>
      <c r="I82" s="6">
        <f t="shared" si="10"/>
        <v>97.05882352941177</v>
      </c>
      <c r="J82" s="2"/>
      <c r="L82" s="37"/>
    </row>
    <row r="83" spans="1:12" ht="31.5" hidden="1">
      <c r="A83" s="17" t="s">
        <v>306</v>
      </c>
      <c r="B83" s="64" t="s">
        <v>307</v>
      </c>
      <c r="C83" s="74" t="s">
        <v>468</v>
      </c>
      <c r="D83" s="6">
        <v>0</v>
      </c>
      <c r="E83" s="6">
        <v>2.4</v>
      </c>
      <c r="F83" s="5"/>
      <c r="G83" s="5">
        <f>F83-L80</f>
        <v>0</v>
      </c>
      <c r="H83" s="5">
        <f t="shared" si="9"/>
        <v>0</v>
      </c>
      <c r="I83" s="6" t="e">
        <f t="shared" si="10"/>
        <v>#DIV/0!</v>
      </c>
      <c r="J83" s="2"/>
      <c r="L83" s="37"/>
    </row>
    <row r="84" spans="1:12" ht="47.25" hidden="1">
      <c r="A84" s="17"/>
      <c r="B84" s="64" t="s">
        <v>18</v>
      </c>
      <c r="C84" s="74" t="s">
        <v>163</v>
      </c>
      <c r="D84" s="6">
        <v>0</v>
      </c>
      <c r="E84" s="6"/>
      <c r="F84" s="5"/>
      <c r="G84" s="5"/>
      <c r="H84" s="5">
        <f t="shared" si="9"/>
        <v>0</v>
      </c>
      <c r="I84" s="6" t="e">
        <f t="shared" si="10"/>
        <v>#DIV/0!</v>
      </c>
      <c r="J84" s="2"/>
      <c r="L84" s="37"/>
    </row>
    <row r="85" spans="1:12" ht="31.5">
      <c r="A85" s="17"/>
      <c r="B85" s="64" t="s">
        <v>85</v>
      </c>
      <c r="C85" s="74" t="s">
        <v>164</v>
      </c>
      <c r="D85" s="6">
        <v>59.95041</v>
      </c>
      <c r="E85" s="6"/>
      <c r="F85" s="5">
        <v>59.95041</v>
      </c>
      <c r="G85" s="5"/>
      <c r="H85" s="5">
        <f t="shared" si="9"/>
        <v>0</v>
      </c>
      <c r="I85" s="6">
        <f t="shared" si="10"/>
        <v>100</v>
      </c>
      <c r="J85" s="2"/>
      <c r="L85" s="37"/>
    </row>
    <row r="86" spans="1:12" ht="47.25">
      <c r="A86" s="17"/>
      <c r="B86" s="64" t="s">
        <v>85</v>
      </c>
      <c r="C86" s="74" t="s">
        <v>135</v>
      </c>
      <c r="D86" s="6">
        <v>40.3</v>
      </c>
      <c r="E86" s="6"/>
      <c r="F86" s="5">
        <v>39.94537</v>
      </c>
      <c r="G86" s="5"/>
      <c r="H86" s="5">
        <f t="shared" si="9"/>
        <v>-0.3546300000000002</v>
      </c>
      <c r="I86" s="6">
        <f t="shared" si="10"/>
        <v>99.12002481389578</v>
      </c>
      <c r="J86" s="2"/>
      <c r="L86" s="37"/>
    </row>
    <row r="87" spans="1:12" ht="31.5">
      <c r="A87" s="17" t="s">
        <v>308</v>
      </c>
      <c r="B87" s="64" t="s">
        <v>337</v>
      </c>
      <c r="C87" s="74" t="s">
        <v>26</v>
      </c>
      <c r="D87" s="6">
        <v>68.3053</v>
      </c>
      <c r="E87" s="6">
        <v>38.3</v>
      </c>
      <c r="F87" s="5">
        <v>60.5282</v>
      </c>
      <c r="G87" s="5">
        <f>F87-L83</f>
        <v>60.5282</v>
      </c>
      <c r="H87" s="5">
        <f t="shared" si="9"/>
        <v>-7.777100000000004</v>
      </c>
      <c r="I87" s="6">
        <f t="shared" si="10"/>
        <v>88.61420709666746</v>
      </c>
      <c r="J87" s="2"/>
      <c r="L87" s="37"/>
    </row>
    <row r="88" spans="1:12" ht="63" hidden="1">
      <c r="A88" s="17"/>
      <c r="B88" s="64" t="s">
        <v>337</v>
      </c>
      <c r="C88" s="74" t="s">
        <v>8</v>
      </c>
      <c r="D88" s="6">
        <v>0</v>
      </c>
      <c r="E88" s="6"/>
      <c r="F88" s="5"/>
      <c r="G88" s="5"/>
      <c r="H88" s="5">
        <f t="shared" si="9"/>
        <v>0</v>
      </c>
      <c r="I88" s="6" t="e">
        <f t="shared" si="10"/>
        <v>#DIV/0!</v>
      </c>
      <c r="J88" s="2"/>
      <c r="L88" s="37"/>
    </row>
    <row r="89" spans="1:12" ht="31.5">
      <c r="A89" s="17" t="s">
        <v>308</v>
      </c>
      <c r="B89" s="64" t="s">
        <v>337</v>
      </c>
      <c r="C89" s="74" t="s">
        <v>165</v>
      </c>
      <c r="D89" s="6">
        <v>23.64</v>
      </c>
      <c r="E89" s="6"/>
      <c r="F89" s="5">
        <v>23.04</v>
      </c>
      <c r="G89" s="5"/>
      <c r="H89" s="5">
        <f t="shared" si="9"/>
        <v>-0.6000000000000014</v>
      </c>
      <c r="I89" s="6">
        <f t="shared" si="10"/>
        <v>97.46192893401015</v>
      </c>
      <c r="J89" s="2"/>
      <c r="L89" s="37"/>
    </row>
    <row r="90" spans="1:12" ht="33.75" customHeight="1">
      <c r="A90" s="17" t="s">
        <v>308</v>
      </c>
      <c r="B90" s="72" t="s">
        <v>412</v>
      </c>
      <c r="C90" s="63" t="s">
        <v>166</v>
      </c>
      <c r="D90" s="6">
        <v>14.1</v>
      </c>
      <c r="E90" s="6">
        <v>5.1</v>
      </c>
      <c r="F90" s="5">
        <v>9.09832</v>
      </c>
      <c r="G90" s="5">
        <f>F90-L87</f>
        <v>9.09832</v>
      </c>
      <c r="H90" s="5">
        <f t="shared" si="9"/>
        <v>-5.00168</v>
      </c>
      <c r="I90" s="6">
        <f t="shared" si="10"/>
        <v>64.52709219858156</v>
      </c>
      <c r="J90" s="2"/>
      <c r="L90" s="37"/>
    </row>
    <row r="91" spans="1:12" ht="67.5" customHeight="1" hidden="1">
      <c r="A91" s="19" t="s">
        <v>304</v>
      </c>
      <c r="B91" s="72" t="s">
        <v>19</v>
      </c>
      <c r="C91" s="55" t="s">
        <v>31</v>
      </c>
      <c r="D91" s="6">
        <v>0</v>
      </c>
      <c r="E91" s="6">
        <v>301.4</v>
      </c>
      <c r="F91" s="5">
        <v>0</v>
      </c>
      <c r="G91" s="5">
        <f>F91-L90</f>
        <v>0</v>
      </c>
      <c r="H91" s="5">
        <f t="shared" si="9"/>
        <v>0</v>
      </c>
      <c r="I91" s="6" t="e">
        <f t="shared" si="10"/>
        <v>#DIV/0!</v>
      </c>
      <c r="J91" s="2"/>
      <c r="L91" s="2"/>
    </row>
    <row r="92" spans="1:12" ht="68.25" customHeight="1" hidden="1">
      <c r="A92" s="19" t="s">
        <v>304</v>
      </c>
      <c r="B92" s="72" t="s">
        <v>19</v>
      </c>
      <c r="C92" s="55" t="s">
        <v>105</v>
      </c>
      <c r="D92" s="6"/>
      <c r="E92" s="6"/>
      <c r="F92" s="5"/>
      <c r="G92" s="5"/>
      <c r="H92" s="5">
        <f t="shared" si="9"/>
        <v>0</v>
      </c>
      <c r="I92" s="6" t="e">
        <f t="shared" si="10"/>
        <v>#DIV/0!</v>
      </c>
      <c r="J92" s="2"/>
      <c r="L92" s="2"/>
    </row>
    <row r="93" spans="1:12" ht="15.75">
      <c r="A93" s="17" t="s">
        <v>304</v>
      </c>
      <c r="B93" s="79" t="s">
        <v>442</v>
      </c>
      <c r="C93" s="74" t="s">
        <v>443</v>
      </c>
      <c r="D93" s="6">
        <f>SUM(D94:D103)</f>
        <v>680.5050000000001</v>
      </c>
      <c r="E93" s="6">
        <f>SUM(E94:E103)</f>
        <v>163.6</v>
      </c>
      <c r="F93" s="6">
        <f>SUM(F94:F103)</f>
        <v>639.1903199999999</v>
      </c>
      <c r="G93" s="6">
        <f>SUM(G94:G103)</f>
        <v>331.091</v>
      </c>
      <c r="H93" s="6">
        <f>SUM(H94:H103)</f>
        <v>-41.31467999999999</v>
      </c>
      <c r="I93" s="6">
        <f t="shared" si="10"/>
        <v>93.92882050829895</v>
      </c>
      <c r="J93" s="2"/>
      <c r="L93" s="37"/>
    </row>
    <row r="94" spans="1:12" ht="33" customHeight="1">
      <c r="A94" s="17" t="s">
        <v>304</v>
      </c>
      <c r="B94" s="48" t="s">
        <v>365</v>
      </c>
      <c r="C94" s="18" t="s">
        <v>32</v>
      </c>
      <c r="D94" s="1">
        <v>331.091</v>
      </c>
      <c r="E94" s="1">
        <v>124.6</v>
      </c>
      <c r="F94" s="4">
        <v>331.091</v>
      </c>
      <c r="G94" s="5">
        <f>F94-L93</f>
        <v>331.091</v>
      </c>
      <c r="H94" s="4">
        <f aca="true" t="shared" si="11" ref="H94:H102">F94-D94</f>
        <v>0</v>
      </c>
      <c r="I94" s="1">
        <f t="shared" si="10"/>
        <v>100</v>
      </c>
      <c r="J94" s="2"/>
      <c r="L94" s="37"/>
    </row>
    <row r="95" spans="1:12" ht="47.25" hidden="1">
      <c r="A95" s="17" t="s">
        <v>304</v>
      </c>
      <c r="B95" s="48" t="s">
        <v>344</v>
      </c>
      <c r="C95" s="18" t="s">
        <v>12</v>
      </c>
      <c r="D95" s="1">
        <v>0</v>
      </c>
      <c r="E95" s="1">
        <v>22</v>
      </c>
      <c r="F95" s="4"/>
      <c r="G95" s="5">
        <f>F95-L94</f>
        <v>0</v>
      </c>
      <c r="H95" s="4">
        <f t="shared" si="11"/>
        <v>0</v>
      </c>
      <c r="I95" s="1" t="e">
        <f t="shared" si="10"/>
        <v>#DIV/0!</v>
      </c>
      <c r="J95" s="2"/>
      <c r="L95" s="37"/>
    </row>
    <row r="96" spans="1:12" ht="0.75" customHeight="1" hidden="1">
      <c r="A96" s="17" t="s">
        <v>304</v>
      </c>
      <c r="B96" s="48" t="s">
        <v>366</v>
      </c>
      <c r="C96" s="18" t="s">
        <v>12</v>
      </c>
      <c r="D96" s="1">
        <v>0</v>
      </c>
      <c r="E96" s="1">
        <v>17</v>
      </c>
      <c r="F96" s="4"/>
      <c r="G96" s="5">
        <f>F96-L95</f>
        <v>0</v>
      </c>
      <c r="H96" s="4">
        <f t="shared" si="11"/>
        <v>0</v>
      </c>
      <c r="I96" s="1" t="e">
        <f t="shared" si="10"/>
        <v>#DIV/0!</v>
      </c>
      <c r="J96" s="2"/>
      <c r="L96" s="2"/>
    </row>
    <row r="97" spans="1:12" ht="65.25" customHeight="1">
      <c r="A97" s="17"/>
      <c r="B97" s="48" t="s">
        <v>365</v>
      </c>
      <c r="C97" s="18" t="s">
        <v>167</v>
      </c>
      <c r="D97" s="1">
        <v>287.3</v>
      </c>
      <c r="E97" s="1"/>
      <c r="F97" s="4">
        <v>269.67511</v>
      </c>
      <c r="G97" s="5"/>
      <c r="H97" s="4">
        <f t="shared" si="11"/>
        <v>-17.624889999999994</v>
      </c>
      <c r="I97" s="1">
        <f t="shared" si="10"/>
        <v>93.86533588583362</v>
      </c>
      <c r="J97" s="2"/>
      <c r="L97" s="2"/>
    </row>
    <row r="98" spans="1:12" ht="44.25" customHeight="1">
      <c r="A98" s="17"/>
      <c r="B98" s="48" t="s">
        <v>366</v>
      </c>
      <c r="C98" s="18" t="s">
        <v>168</v>
      </c>
      <c r="D98" s="1">
        <v>5.48</v>
      </c>
      <c r="E98" s="1"/>
      <c r="F98" s="5">
        <v>2.689</v>
      </c>
      <c r="G98" s="5"/>
      <c r="H98" s="4">
        <f t="shared" si="11"/>
        <v>-2.7910000000000004</v>
      </c>
      <c r="I98" s="1">
        <f t="shared" si="10"/>
        <v>49.069343065693424</v>
      </c>
      <c r="J98" s="2"/>
      <c r="L98" s="2"/>
    </row>
    <row r="99" spans="1:12" ht="49.5" customHeight="1">
      <c r="A99" s="17"/>
      <c r="B99" s="48" t="s">
        <v>366</v>
      </c>
      <c r="C99" s="18" t="s">
        <v>168</v>
      </c>
      <c r="D99" s="1">
        <v>3.2</v>
      </c>
      <c r="E99" s="1"/>
      <c r="F99" s="5">
        <v>1.60636</v>
      </c>
      <c r="G99" s="5"/>
      <c r="H99" s="4">
        <f t="shared" si="11"/>
        <v>-1.5936400000000002</v>
      </c>
      <c r="I99" s="1">
        <f t="shared" si="10"/>
        <v>50.19874999999999</v>
      </c>
      <c r="J99" s="2"/>
      <c r="L99" s="2"/>
    </row>
    <row r="100" spans="1:12" ht="48.75" customHeight="1">
      <c r="A100" s="17" t="s">
        <v>304</v>
      </c>
      <c r="B100" s="48" t="s">
        <v>366</v>
      </c>
      <c r="C100" s="7" t="s">
        <v>169</v>
      </c>
      <c r="D100" s="1">
        <v>52.6</v>
      </c>
      <c r="E100" s="1"/>
      <c r="F100" s="5">
        <v>33.29585</v>
      </c>
      <c r="G100" s="5"/>
      <c r="H100" s="4">
        <f t="shared" si="11"/>
        <v>-19.30415</v>
      </c>
      <c r="I100" s="1">
        <f t="shared" si="10"/>
        <v>63.30009505703422</v>
      </c>
      <c r="J100" s="2"/>
      <c r="L100" s="2"/>
    </row>
    <row r="101" spans="1:12" ht="64.5" customHeight="1" hidden="1">
      <c r="A101" s="17"/>
      <c r="B101" s="48" t="s">
        <v>78</v>
      </c>
      <c r="C101" s="7" t="s">
        <v>170</v>
      </c>
      <c r="D101" s="1"/>
      <c r="E101" s="1"/>
      <c r="F101" s="4"/>
      <c r="G101" s="5"/>
      <c r="H101" s="4">
        <f t="shared" si="11"/>
        <v>0</v>
      </c>
      <c r="I101" s="1" t="e">
        <f t="shared" si="10"/>
        <v>#DIV/0!</v>
      </c>
      <c r="J101" s="2"/>
      <c r="L101" s="2"/>
    </row>
    <row r="102" spans="1:12" ht="50.25" customHeight="1">
      <c r="A102" s="17"/>
      <c r="B102" s="48" t="s">
        <v>78</v>
      </c>
      <c r="C102" s="7" t="s">
        <v>182</v>
      </c>
      <c r="D102" s="1">
        <v>0.834</v>
      </c>
      <c r="E102" s="1"/>
      <c r="F102" s="4">
        <v>0.833</v>
      </c>
      <c r="G102" s="5"/>
      <c r="H102" s="4">
        <f t="shared" si="11"/>
        <v>-0.0010000000000000009</v>
      </c>
      <c r="I102" s="1">
        <f t="shared" si="10"/>
        <v>99.8800959232614</v>
      </c>
      <c r="J102" s="2"/>
      <c r="L102" s="2"/>
    </row>
    <row r="103" spans="1:12" ht="50.25" customHeight="1" hidden="1">
      <c r="A103" s="17"/>
      <c r="B103" s="48" t="s">
        <v>25</v>
      </c>
      <c r="C103" s="18" t="s">
        <v>33</v>
      </c>
      <c r="D103" s="1"/>
      <c r="E103" s="1"/>
      <c r="F103" s="4"/>
      <c r="G103" s="5"/>
      <c r="H103" s="4"/>
      <c r="I103" s="1"/>
      <c r="J103" s="2"/>
      <c r="L103" s="2"/>
    </row>
    <row r="104" spans="1:12" ht="15.75">
      <c r="A104" s="17"/>
      <c r="B104" s="64" t="s">
        <v>310</v>
      </c>
      <c r="C104" s="74" t="s">
        <v>106</v>
      </c>
      <c r="D104" s="6">
        <f>SUM(D105:D109)</f>
        <v>1810.6915199999999</v>
      </c>
      <c r="E104" s="6">
        <f>SUM(E105:E109)</f>
        <v>661.9</v>
      </c>
      <c r="F104" s="6">
        <f>SUM(F105:F109)</f>
        <v>1772.4565400000001</v>
      </c>
      <c r="G104" s="6">
        <f>SUM(G105:G109)</f>
        <v>1679.11659</v>
      </c>
      <c r="H104" s="5">
        <f aca="true" t="shared" si="12" ref="H104:H136">F104-D104</f>
        <v>-38.23497999999972</v>
      </c>
      <c r="I104" s="6">
        <f aca="true" t="shared" si="13" ref="I104:I136">F104/D104*100</f>
        <v>97.88837692242576</v>
      </c>
      <c r="J104" s="2"/>
      <c r="L104" s="2"/>
    </row>
    <row r="105" spans="1:12" ht="65.25" customHeight="1">
      <c r="A105" s="17" t="s">
        <v>311</v>
      </c>
      <c r="B105" s="48" t="s">
        <v>312</v>
      </c>
      <c r="C105" s="18" t="s">
        <v>66</v>
      </c>
      <c r="D105" s="1">
        <v>1584.89682</v>
      </c>
      <c r="E105" s="1">
        <v>392.3</v>
      </c>
      <c r="F105" s="1">
        <v>1549.37362</v>
      </c>
      <c r="G105" s="5">
        <f>F105-L104</f>
        <v>1549.37362</v>
      </c>
      <c r="H105" s="4">
        <f t="shared" si="12"/>
        <v>-35.52319999999986</v>
      </c>
      <c r="I105" s="1">
        <f t="shared" si="13"/>
        <v>97.75864273612463</v>
      </c>
      <c r="J105" s="2"/>
      <c r="L105" s="37"/>
    </row>
    <row r="106" spans="1:12" ht="79.5" customHeight="1">
      <c r="A106" s="17" t="s">
        <v>311</v>
      </c>
      <c r="B106" s="48" t="s">
        <v>20</v>
      </c>
      <c r="C106" s="7" t="s">
        <v>272</v>
      </c>
      <c r="D106" s="1">
        <v>94.6</v>
      </c>
      <c r="E106" s="1"/>
      <c r="F106" s="1">
        <v>93.33995</v>
      </c>
      <c r="G106" s="5"/>
      <c r="H106" s="4">
        <f t="shared" si="12"/>
        <v>-1.2600499999999926</v>
      </c>
      <c r="I106" s="1">
        <f t="shared" si="13"/>
        <v>98.66802325581396</v>
      </c>
      <c r="J106" s="2"/>
      <c r="L106" s="37"/>
    </row>
    <row r="107" spans="1:12" ht="48" customHeight="1">
      <c r="A107" s="17" t="s">
        <v>303</v>
      </c>
      <c r="B107" s="48" t="s">
        <v>313</v>
      </c>
      <c r="C107" s="7" t="s">
        <v>173</v>
      </c>
      <c r="D107" s="1">
        <v>27.94</v>
      </c>
      <c r="E107" s="1">
        <v>3.4</v>
      </c>
      <c r="F107" s="4">
        <v>26.64703</v>
      </c>
      <c r="G107" s="5">
        <f>F107-L105</f>
        <v>26.64703</v>
      </c>
      <c r="H107" s="4">
        <f t="shared" si="12"/>
        <v>-1.2929700000000004</v>
      </c>
      <c r="I107" s="1">
        <f t="shared" si="13"/>
        <v>95.37233357193988</v>
      </c>
      <c r="J107" s="2"/>
      <c r="L107" s="2"/>
    </row>
    <row r="108" spans="1:12" ht="79.5" customHeight="1">
      <c r="A108" s="17" t="s">
        <v>301</v>
      </c>
      <c r="B108" s="48" t="s">
        <v>314</v>
      </c>
      <c r="C108" s="3" t="s">
        <v>174</v>
      </c>
      <c r="D108" s="1">
        <v>103.2547</v>
      </c>
      <c r="E108" s="1">
        <v>32.8</v>
      </c>
      <c r="F108" s="1">
        <v>103.09594</v>
      </c>
      <c r="G108" s="5">
        <f>F108-L107</f>
        <v>103.09594</v>
      </c>
      <c r="H108" s="4">
        <f t="shared" si="12"/>
        <v>-0.1587600000000009</v>
      </c>
      <c r="I108" s="1">
        <f t="shared" si="13"/>
        <v>99.84624428718499</v>
      </c>
      <c r="J108" s="2"/>
      <c r="L108" s="39"/>
    </row>
    <row r="109" spans="1:12" ht="31.5" hidden="1">
      <c r="A109" s="17" t="s">
        <v>308</v>
      </c>
      <c r="B109" s="48" t="s">
        <v>315</v>
      </c>
      <c r="C109" s="3" t="s">
        <v>469</v>
      </c>
      <c r="D109" s="1">
        <v>0</v>
      </c>
      <c r="E109" s="1">
        <v>233.4</v>
      </c>
      <c r="F109" s="5">
        <v>0</v>
      </c>
      <c r="G109" s="5">
        <f>F109-L108</f>
        <v>0</v>
      </c>
      <c r="H109" s="4">
        <f t="shared" si="12"/>
        <v>0</v>
      </c>
      <c r="I109" s="1" t="e">
        <f t="shared" si="13"/>
        <v>#DIV/0!</v>
      </c>
      <c r="J109" s="2"/>
      <c r="L109" s="39"/>
    </row>
    <row r="110" spans="1:12" ht="15.75">
      <c r="A110" s="17"/>
      <c r="B110" s="64" t="s">
        <v>316</v>
      </c>
      <c r="C110" s="74" t="s">
        <v>443</v>
      </c>
      <c r="D110" s="6">
        <f>D111+D112+D113</f>
        <v>2952.0570000000002</v>
      </c>
      <c r="E110" s="6">
        <f>E111+E112+E113</f>
        <v>409.4</v>
      </c>
      <c r="F110" s="6">
        <f>F111+F112+F113</f>
        <v>2889.0525199999997</v>
      </c>
      <c r="G110" s="85">
        <f>G111+G112+G113</f>
        <v>2883.68163</v>
      </c>
      <c r="H110" s="5">
        <f t="shared" si="12"/>
        <v>-63.00448000000051</v>
      </c>
      <c r="I110" s="6">
        <f t="shared" si="13"/>
        <v>97.86574310726384</v>
      </c>
      <c r="J110" s="2"/>
      <c r="L110" s="37"/>
    </row>
    <row r="111" spans="1:12" ht="31.5">
      <c r="A111" s="17" t="s">
        <v>306</v>
      </c>
      <c r="B111" s="64" t="s">
        <v>316</v>
      </c>
      <c r="C111" s="74" t="s">
        <v>175</v>
      </c>
      <c r="D111" s="6">
        <v>2944.657</v>
      </c>
      <c r="E111" s="6">
        <v>409.4</v>
      </c>
      <c r="F111" s="5">
        <v>2883.68163</v>
      </c>
      <c r="G111" s="5">
        <f>F111-L110</f>
        <v>2883.68163</v>
      </c>
      <c r="H111" s="5">
        <f t="shared" si="12"/>
        <v>-60.97537000000011</v>
      </c>
      <c r="I111" s="6">
        <f t="shared" si="13"/>
        <v>97.92928785933302</v>
      </c>
      <c r="J111" s="2"/>
      <c r="L111" s="37"/>
    </row>
    <row r="112" spans="1:12" ht="47.25">
      <c r="A112" s="17"/>
      <c r="B112" s="64" t="s">
        <v>462</v>
      </c>
      <c r="C112" s="74" t="s">
        <v>176</v>
      </c>
      <c r="D112" s="6">
        <v>6.32</v>
      </c>
      <c r="E112" s="6"/>
      <c r="F112" s="5">
        <v>5.28689</v>
      </c>
      <c r="G112" s="5"/>
      <c r="H112" s="5">
        <f t="shared" si="12"/>
        <v>-1.0331100000000006</v>
      </c>
      <c r="I112" s="6">
        <f t="shared" si="13"/>
        <v>83.65332278481011</v>
      </c>
      <c r="J112" s="2"/>
      <c r="L112" s="37"/>
    </row>
    <row r="113" spans="1:12" ht="33" customHeight="1">
      <c r="A113" s="17"/>
      <c r="B113" s="64" t="s">
        <v>463</v>
      </c>
      <c r="C113" s="74" t="s">
        <v>177</v>
      </c>
      <c r="D113" s="6">
        <v>1.08</v>
      </c>
      <c r="E113" s="6"/>
      <c r="F113" s="5">
        <v>0.084</v>
      </c>
      <c r="G113" s="5"/>
      <c r="H113" s="5">
        <f t="shared" si="12"/>
        <v>-0.9960000000000001</v>
      </c>
      <c r="I113" s="6">
        <f t="shared" si="13"/>
        <v>7.777777777777778</v>
      </c>
      <c r="J113" s="2" t="s">
        <v>373</v>
      </c>
      <c r="L113" s="2"/>
    </row>
    <row r="114" spans="1:12" ht="16.5" customHeight="1">
      <c r="A114" s="19" t="s">
        <v>413</v>
      </c>
      <c r="B114" s="72" t="s">
        <v>317</v>
      </c>
      <c r="C114" s="55" t="s">
        <v>107</v>
      </c>
      <c r="D114" s="6">
        <f>SUM(D115:D122)</f>
        <v>23246.72</v>
      </c>
      <c r="E114" s="6">
        <f>SUM(E115:E122)</f>
        <v>3220.6</v>
      </c>
      <c r="F114" s="6">
        <f>SUM(F115:F122)</f>
        <v>22380.629119999998</v>
      </c>
      <c r="G114" s="6">
        <f>SUM(G115:G120)</f>
        <v>6079.63627</v>
      </c>
      <c r="H114" s="5">
        <f t="shared" si="12"/>
        <v>-866.0908800000034</v>
      </c>
      <c r="I114" s="6">
        <f t="shared" si="13"/>
        <v>96.27435233873852</v>
      </c>
      <c r="J114" s="2" t="s">
        <v>374</v>
      </c>
      <c r="L114" s="37"/>
    </row>
    <row r="115" spans="1:12" ht="47.25">
      <c r="A115" s="17" t="s">
        <v>318</v>
      </c>
      <c r="B115" s="64" t="s">
        <v>17</v>
      </c>
      <c r="C115" s="55" t="s">
        <v>178</v>
      </c>
      <c r="D115" s="6">
        <v>265.14</v>
      </c>
      <c r="E115" s="6">
        <v>768.1</v>
      </c>
      <c r="F115" s="5">
        <v>195.40264</v>
      </c>
      <c r="G115" s="5">
        <f>F115-L114</f>
        <v>195.40264</v>
      </c>
      <c r="H115" s="5">
        <f t="shared" si="12"/>
        <v>-69.73736</v>
      </c>
      <c r="I115" s="6">
        <f t="shared" si="13"/>
        <v>73.69791053782907</v>
      </c>
      <c r="J115" s="2"/>
      <c r="L115" s="37"/>
    </row>
    <row r="116" spans="1:12" ht="48" customHeight="1">
      <c r="A116" s="17" t="s">
        <v>318</v>
      </c>
      <c r="B116" s="64" t="s">
        <v>370</v>
      </c>
      <c r="C116" s="86" t="s">
        <v>219</v>
      </c>
      <c r="D116" s="6">
        <f>1054-400-54</f>
        <v>600</v>
      </c>
      <c r="E116" s="6">
        <v>852.5</v>
      </c>
      <c r="F116" s="5">
        <v>350</v>
      </c>
      <c r="G116" s="5">
        <f>F116-L115</f>
        <v>350</v>
      </c>
      <c r="H116" s="5">
        <f t="shared" si="12"/>
        <v>-250</v>
      </c>
      <c r="I116" s="6">
        <f t="shared" si="13"/>
        <v>58.333333333333336</v>
      </c>
      <c r="J116" s="2"/>
      <c r="L116" s="37"/>
    </row>
    <row r="117" spans="1:12" ht="34.5" customHeight="1">
      <c r="A117" s="17" t="s">
        <v>318</v>
      </c>
      <c r="B117" s="64" t="s">
        <v>40</v>
      </c>
      <c r="C117" s="86" t="s">
        <v>220</v>
      </c>
      <c r="D117" s="6">
        <v>155.28</v>
      </c>
      <c r="E117" s="6"/>
      <c r="F117" s="5">
        <v>0</v>
      </c>
      <c r="G117" s="5"/>
      <c r="H117" s="5">
        <f t="shared" si="12"/>
        <v>-155.28</v>
      </c>
      <c r="I117" s="6">
        <f t="shared" si="13"/>
        <v>0</v>
      </c>
      <c r="J117" s="2"/>
      <c r="L117" s="37"/>
    </row>
    <row r="118" spans="1:12" ht="47.25" customHeight="1">
      <c r="A118" s="17" t="s">
        <v>320</v>
      </c>
      <c r="B118" s="64" t="s">
        <v>15</v>
      </c>
      <c r="C118" s="86" t="s">
        <v>221</v>
      </c>
      <c r="D118" s="6">
        <v>98</v>
      </c>
      <c r="E118" s="6">
        <v>0</v>
      </c>
      <c r="F118" s="5">
        <v>98</v>
      </c>
      <c r="G118" s="5">
        <f>F118-L116</f>
        <v>98</v>
      </c>
      <c r="H118" s="5">
        <f t="shared" si="12"/>
        <v>0</v>
      </c>
      <c r="I118" s="6">
        <f t="shared" si="13"/>
        <v>100</v>
      </c>
      <c r="J118" s="2"/>
      <c r="L118" s="37"/>
    </row>
    <row r="119" spans="1:12" ht="18" customHeight="1" hidden="1">
      <c r="A119" s="17"/>
      <c r="B119" s="64" t="s">
        <v>321</v>
      </c>
      <c r="C119" s="63" t="s">
        <v>222</v>
      </c>
      <c r="D119" s="6">
        <v>0</v>
      </c>
      <c r="E119" s="6"/>
      <c r="F119" s="5"/>
      <c r="G119" s="5"/>
      <c r="H119" s="5">
        <f t="shared" si="12"/>
        <v>0</v>
      </c>
      <c r="I119" s="6" t="e">
        <f t="shared" si="13"/>
        <v>#DIV/0!</v>
      </c>
      <c r="J119" s="2"/>
      <c r="L119" s="37"/>
    </row>
    <row r="120" spans="1:12" ht="15.75">
      <c r="A120" s="17" t="s">
        <v>320</v>
      </c>
      <c r="B120" s="64" t="s">
        <v>321</v>
      </c>
      <c r="C120" s="63" t="s">
        <v>384</v>
      </c>
      <c r="D120" s="6">
        <v>5827.3</v>
      </c>
      <c r="E120" s="6">
        <v>1600</v>
      </c>
      <c r="F120" s="5">
        <v>5436.23363</v>
      </c>
      <c r="G120" s="5">
        <f>F120-L118</f>
        <v>5436.23363</v>
      </c>
      <c r="H120" s="5">
        <f t="shared" si="12"/>
        <v>-391.06637000000046</v>
      </c>
      <c r="I120" s="6">
        <f t="shared" si="13"/>
        <v>93.28906406054261</v>
      </c>
      <c r="J120" s="2"/>
      <c r="L120" s="2"/>
    </row>
    <row r="121" spans="1:12" ht="31.5">
      <c r="A121" s="17"/>
      <c r="B121" s="64" t="s">
        <v>321</v>
      </c>
      <c r="C121" s="63" t="s">
        <v>453</v>
      </c>
      <c r="D121" s="6">
        <v>25</v>
      </c>
      <c r="E121" s="6"/>
      <c r="F121" s="5">
        <v>24.99285</v>
      </c>
      <c r="G121" s="5"/>
      <c r="H121" s="5">
        <f t="shared" si="12"/>
        <v>-0.0071499999999993236</v>
      </c>
      <c r="I121" s="6">
        <f t="shared" si="13"/>
        <v>99.9714</v>
      </c>
      <c r="J121" s="2"/>
      <c r="L121" s="2"/>
    </row>
    <row r="122" spans="1:12" ht="78.75">
      <c r="A122" s="17"/>
      <c r="B122" s="64" t="s">
        <v>93</v>
      </c>
      <c r="C122" s="63" t="s">
        <v>2</v>
      </c>
      <c r="D122" s="6">
        <v>16276</v>
      </c>
      <c r="E122" s="6"/>
      <c r="F122" s="5">
        <v>16276</v>
      </c>
      <c r="G122" s="5"/>
      <c r="H122" s="5">
        <f>F122-D122</f>
        <v>0</v>
      </c>
      <c r="I122" s="6">
        <f>F122/D122*100</f>
        <v>100</v>
      </c>
      <c r="J122" s="2"/>
      <c r="L122" s="2"/>
    </row>
    <row r="123" spans="1:12" ht="15.75">
      <c r="A123" s="19" t="s">
        <v>322</v>
      </c>
      <c r="B123" s="72" t="s">
        <v>335</v>
      </c>
      <c r="C123" s="55" t="s">
        <v>109</v>
      </c>
      <c r="D123" s="6">
        <f>SUM(D124:D129)</f>
        <v>3513.29164</v>
      </c>
      <c r="E123" s="6">
        <f>SUM(E124:E129)</f>
        <v>970.5999999999999</v>
      </c>
      <c r="F123" s="6">
        <f>SUM(F124:F129)</f>
        <v>3283.13081</v>
      </c>
      <c r="G123" s="6" t="e">
        <f>SUM(G124:G129)</f>
        <v>#REF!</v>
      </c>
      <c r="H123" s="5">
        <f t="shared" si="12"/>
        <v>-230.1608299999998</v>
      </c>
      <c r="I123" s="6">
        <f t="shared" si="13"/>
        <v>93.44885498887875</v>
      </c>
      <c r="J123" s="2"/>
      <c r="L123" s="37"/>
    </row>
    <row r="124" spans="1:12" ht="15.75">
      <c r="A124" s="17" t="s">
        <v>322</v>
      </c>
      <c r="B124" s="64" t="s">
        <v>444</v>
      </c>
      <c r="C124" s="74" t="s">
        <v>447</v>
      </c>
      <c r="D124" s="6">
        <v>433.13914</v>
      </c>
      <c r="E124" s="6">
        <v>123.4</v>
      </c>
      <c r="F124" s="5">
        <v>406.0837</v>
      </c>
      <c r="G124" s="5">
        <f>F124-L123</f>
        <v>406.0837</v>
      </c>
      <c r="H124" s="5">
        <f t="shared" si="12"/>
        <v>-27.055439999999976</v>
      </c>
      <c r="I124" s="6">
        <f t="shared" si="13"/>
        <v>93.75363768788017</v>
      </c>
      <c r="J124" s="2"/>
      <c r="L124" s="37"/>
    </row>
    <row r="125" spans="1:12" ht="15.75">
      <c r="A125" s="17" t="s">
        <v>322</v>
      </c>
      <c r="B125" s="64" t="s">
        <v>445</v>
      </c>
      <c r="C125" s="74" t="s">
        <v>449</v>
      </c>
      <c r="D125" s="6">
        <v>278.76924</v>
      </c>
      <c r="E125" s="6">
        <v>86.6</v>
      </c>
      <c r="F125" s="5">
        <v>267.62139</v>
      </c>
      <c r="G125" s="5">
        <f>F125-L124</f>
        <v>267.62139</v>
      </c>
      <c r="H125" s="5">
        <f t="shared" si="12"/>
        <v>-11.147850000000005</v>
      </c>
      <c r="I125" s="6">
        <f t="shared" si="13"/>
        <v>96.00104731784612</v>
      </c>
      <c r="J125" s="2"/>
      <c r="L125" s="37"/>
    </row>
    <row r="126" spans="1:12" ht="18" customHeight="1">
      <c r="A126" s="17" t="s">
        <v>322</v>
      </c>
      <c r="B126" s="64" t="s">
        <v>446</v>
      </c>
      <c r="C126" s="74" t="s">
        <v>448</v>
      </c>
      <c r="D126" s="6">
        <v>2224.64368</v>
      </c>
      <c r="E126" s="6">
        <v>581.9</v>
      </c>
      <c r="F126" s="5">
        <v>2118.53753</v>
      </c>
      <c r="G126" s="5" t="e">
        <f>F126-#REF!</f>
        <v>#REF!</v>
      </c>
      <c r="H126" s="5">
        <f t="shared" si="12"/>
        <v>-106.10615000000007</v>
      </c>
      <c r="I126" s="6">
        <f t="shared" si="13"/>
        <v>95.23042045097307</v>
      </c>
      <c r="J126" s="2"/>
      <c r="L126" s="37"/>
    </row>
    <row r="127" spans="1:12" ht="63" hidden="1">
      <c r="A127" s="17" t="s">
        <v>361</v>
      </c>
      <c r="B127" s="64" t="s">
        <v>432</v>
      </c>
      <c r="C127" s="74" t="s">
        <v>431</v>
      </c>
      <c r="D127" s="6">
        <v>0</v>
      </c>
      <c r="E127" s="6">
        <v>18.4</v>
      </c>
      <c r="F127" s="5"/>
      <c r="G127" s="5">
        <f>F127-L126</f>
        <v>0</v>
      </c>
      <c r="H127" s="5">
        <f t="shared" si="12"/>
        <v>0</v>
      </c>
      <c r="I127" s="6" t="e">
        <f t="shared" si="13"/>
        <v>#DIV/0!</v>
      </c>
      <c r="J127" s="2"/>
      <c r="L127" s="37"/>
    </row>
    <row r="128" spans="1:12" ht="15.75">
      <c r="A128" s="17" t="s">
        <v>322</v>
      </c>
      <c r="B128" s="64" t="s">
        <v>424</v>
      </c>
      <c r="C128" s="74" t="s">
        <v>397</v>
      </c>
      <c r="D128" s="6">
        <v>280.50958</v>
      </c>
      <c r="E128" s="6">
        <v>60.3</v>
      </c>
      <c r="F128" s="5">
        <v>262.69785</v>
      </c>
      <c r="G128" s="5">
        <f>F128-L127</f>
        <v>262.69785</v>
      </c>
      <c r="H128" s="5">
        <f t="shared" si="12"/>
        <v>-17.81173000000001</v>
      </c>
      <c r="I128" s="6">
        <f t="shared" si="13"/>
        <v>93.65022399591486</v>
      </c>
      <c r="J128" s="2"/>
      <c r="L128" s="37"/>
    </row>
    <row r="129" spans="1:12" ht="50.25" customHeight="1">
      <c r="A129" s="17" t="s">
        <v>425</v>
      </c>
      <c r="B129" s="64" t="s">
        <v>424</v>
      </c>
      <c r="C129" s="74" t="s">
        <v>35</v>
      </c>
      <c r="D129" s="6">
        <v>296.23</v>
      </c>
      <c r="E129" s="6">
        <v>100</v>
      </c>
      <c r="F129" s="5">
        <v>228.19034</v>
      </c>
      <c r="G129" s="5">
        <f>F129-L128</f>
        <v>228.19034</v>
      </c>
      <c r="H129" s="5">
        <f t="shared" si="12"/>
        <v>-68.03966000000003</v>
      </c>
      <c r="I129" s="6">
        <f t="shared" si="13"/>
        <v>77.03147554265266</v>
      </c>
      <c r="J129" s="2"/>
      <c r="L129" s="2"/>
    </row>
    <row r="130" spans="1:12" ht="19.5" customHeight="1">
      <c r="A130" s="17" t="s">
        <v>414</v>
      </c>
      <c r="B130" s="64" t="s">
        <v>371</v>
      </c>
      <c r="C130" s="74" t="s">
        <v>110</v>
      </c>
      <c r="D130" s="6">
        <f>SUM(D131:D134)</f>
        <v>390</v>
      </c>
      <c r="E130" s="6">
        <f>SUM(E131:E134)</f>
        <v>141.2</v>
      </c>
      <c r="F130" s="6">
        <f>SUM(F131:F134)</f>
        <v>377.21568</v>
      </c>
      <c r="G130" s="6">
        <f>SUM(G131:G133)</f>
        <v>10</v>
      </c>
      <c r="H130" s="5">
        <f t="shared" si="12"/>
        <v>-12.78431999999998</v>
      </c>
      <c r="I130" s="6">
        <f t="shared" si="13"/>
        <v>96.72196923076923</v>
      </c>
      <c r="J130" s="2"/>
      <c r="L130" s="38"/>
    </row>
    <row r="131" spans="1:12" ht="15" customHeight="1" hidden="1">
      <c r="A131" s="23" t="s">
        <v>342</v>
      </c>
      <c r="B131" s="50" t="s">
        <v>341</v>
      </c>
      <c r="C131" s="7" t="s">
        <v>470</v>
      </c>
      <c r="D131" s="1">
        <v>0</v>
      </c>
      <c r="E131" s="1">
        <v>21</v>
      </c>
      <c r="F131" s="8">
        <v>0</v>
      </c>
      <c r="G131" s="5">
        <f>F131-L130</f>
        <v>0</v>
      </c>
      <c r="H131" s="4">
        <f t="shared" si="12"/>
        <v>0</v>
      </c>
      <c r="I131" s="1" t="e">
        <f t="shared" si="13"/>
        <v>#DIV/0!</v>
      </c>
      <c r="J131" s="2"/>
      <c r="L131" s="38"/>
    </row>
    <row r="132" spans="1:12" ht="23.25" customHeight="1" hidden="1">
      <c r="A132" s="23" t="s">
        <v>382</v>
      </c>
      <c r="B132" s="50" t="s">
        <v>383</v>
      </c>
      <c r="C132" s="7" t="s">
        <v>471</v>
      </c>
      <c r="D132" s="1">
        <v>0</v>
      </c>
      <c r="E132" s="1">
        <v>120.2</v>
      </c>
      <c r="F132" s="8">
        <v>0</v>
      </c>
      <c r="G132" s="5">
        <f>F132-L131</f>
        <v>0</v>
      </c>
      <c r="H132" s="4">
        <f t="shared" si="12"/>
        <v>0</v>
      </c>
      <c r="I132" s="1" t="e">
        <f t="shared" si="13"/>
        <v>#DIV/0!</v>
      </c>
      <c r="J132" s="2"/>
      <c r="L132" s="37"/>
    </row>
    <row r="133" spans="1:12" ht="31.5" customHeight="1">
      <c r="A133" s="23" t="s">
        <v>382</v>
      </c>
      <c r="B133" s="50" t="s">
        <v>383</v>
      </c>
      <c r="C133" s="7" t="s">
        <v>179</v>
      </c>
      <c r="D133" s="1">
        <v>10</v>
      </c>
      <c r="E133" s="1"/>
      <c r="F133" s="4">
        <v>10</v>
      </c>
      <c r="G133" s="5">
        <f>F133-L132</f>
        <v>10</v>
      </c>
      <c r="H133" s="4">
        <f t="shared" si="12"/>
        <v>0</v>
      </c>
      <c r="I133" s="1">
        <f t="shared" si="13"/>
        <v>100</v>
      </c>
      <c r="J133" s="2"/>
      <c r="L133" s="2"/>
    </row>
    <row r="134" spans="1:12" ht="47.25">
      <c r="A134" s="23"/>
      <c r="B134" s="50" t="s">
        <v>42</v>
      </c>
      <c r="C134" s="63" t="s">
        <v>223</v>
      </c>
      <c r="D134" s="1">
        <v>380</v>
      </c>
      <c r="E134" s="1"/>
      <c r="F134" s="4">
        <v>367.21568</v>
      </c>
      <c r="G134" s="5"/>
      <c r="H134" s="4">
        <f t="shared" si="12"/>
        <v>-12.78431999999998</v>
      </c>
      <c r="I134" s="1">
        <f t="shared" si="13"/>
        <v>96.6357052631579</v>
      </c>
      <c r="J134" s="2"/>
      <c r="L134" s="2"/>
    </row>
    <row r="135" spans="1:12" ht="15.75">
      <c r="A135" s="19" t="s">
        <v>323</v>
      </c>
      <c r="B135" s="72" t="s">
        <v>324</v>
      </c>
      <c r="C135" s="55" t="s">
        <v>111</v>
      </c>
      <c r="D135" s="6">
        <f>D137+D138+D136+D139</f>
        <v>1448.3373700000002</v>
      </c>
      <c r="E135" s="6">
        <f>E137+E138+E136+E139</f>
        <v>336.9</v>
      </c>
      <c r="F135" s="6">
        <f>F137+F138+F136+F139</f>
        <v>1188.2824699999999</v>
      </c>
      <c r="G135" s="6">
        <f>G137+G138</f>
        <v>1125.6404699999998</v>
      </c>
      <c r="H135" s="5">
        <f t="shared" si="12"/>
        <v>-260.0549000000003</v>
      </c>
      <c r="I135" s="6">
        <f t="shared" si="13"/>
        <v>82.0445908952829</v>
      </c>
      <c r="J135" s="2"/>
      <c r="L135" s="37"/>
    </row>
    <row r="136" spans="1:12" ht="48" customHeight="1">
      <c r="A136" s="19" t="s">
        <v>323</v>
      </c>
      <c r="B136" s="49" t="s">
        <v>21</v>
      </c>
      <c r="C136" s="55" t="s">
        <v>193</v>
      </c>
      <c r="D136" s="1">
        <v>34.756</v>
      </c>
      <c r="E136" s="1"/>
      <c r="F136" s="1">
        <v>26.92517</v>
      </c>
      <c r="G136" s="1"/>
      <c r="H136" s="4">
        <f t="shared" si="12"/>
        <v>-7.830829999999999</v>
      </c>
      <c r="I136" s="1">
        <f t="shared" si="13"/>
        <v>77.46912763263897</v>
      </c>
      <c r="J136" s="2"/>
      <c r="L136" s="37"/>
    </row>
    <row r="137" spans="1:12" ht="62.25" customHeight="1">
      <c r="A137" s="19" t="s">
        <v>323</v>
      </c>
      <c r="B137" s="49" t="s">
        <v>415</v>
      </c>
      <c r="C137" s="7" t="s">
        <v>224</v>
      </c>
      <c r="D137" s="1">
        <v>67.44</v>
      </c>
      <c r="E137" s="1">
        <v>15</v>
      </c>
      <c r="F137" s="4">
        <v>48.39206</v>
      </c>
      <c r="G137" s="5">
        <f>F137-L135</f>
        <v>48.39206</v>
      </c>
      <c r="H137" s="4">
        <f aca="true" t="shared" si="14" ref="H137:H165">F137-D137</f>
        <v>-19.047939999999997</v>
      </c>
      <c r="I137" s="1">
        <f aca="true" t="shared" si="15" ref="I137:I165">F137/D137*100</f>
        <v>71.75572360616846</v>
      </c>
      <c r="J137" s="2"/>
      <c r="L137" s="37"/>
    </row>
    <row r="138" spans="1:12" ht="31.5">
      <c r="A138" s="19" t="s">
        <v>323</v>
      </c>
      <c r="B138" s="49" t="s">
        <v>325</v>
      </c>
      <c r="C138" s="7" t="s">
        <v>427</v>
      </c>
      <c r="D138" s="1">
        <v>1290.07737</v>
      </c>
      <c r="E138" s="1">
        <v>321.9</v>
      </c>
      <c r="F138" s="4">
        <v>1077.24841</v>
      </c>
      <c r="G138" s="5">
        <f>F138-L137</f>
        <v>1077.24841</v>
      </c>
      <c r="H138" s="4">
        <f t="shared" si="14"/>
        <v>-212.82896000000005</v>
      </c>
      <c r="I138" s="1">
        <f t="shared" si="15"/>
        <v>83.50262046686393</v>
      </c>
      <c r="J138" s="2"/>
      <c r="L138" s="37"/>
    </row>
    <row r="139" spans="1:12" ht="46.5" customHeight="1">
      <c r="A139" s="19" t="s">
        <v>323</v>
      </c>
      <c r="B139" s="49" t="s">
        <v>22</v>
      </c>
      <c r="C139" s="55" t="s">
        <v>194</v>
      </c>
      <c r="D139" s="1">
        <v>56.064</v>
      </c>
      <c r="E139" s="1"/>
      <c r="F139" s="4">
        <v>35.71683</v>
      </c>
      <c r="G139" s="5"/>
      <c r="H139" s="4">
        <f t="shared" si="14"/>
        <v>-20.34717</v>
      </c>
      <c r="I139" s="1">
        <f t="shared" si="15"/>
        <v>63.707245291095894</v>
      </c>
      <c r="J139" s="2"/>
      <c r="L139" s="37"/>
    </row>
    <row r="140" spans="1:12" ht="27.75" customHeight="1" hidden="1">
      <c r="A140" s="17" t="s">
        <v>343</v>
      </c>
      <c r="B140" s="48" t="s">
        <v>340</v>
      </c>
      <c r="C140" s="24" t="s">
        <v>7</v>
      </c>
      <c r="D140" s="1"/>
      <c r="E140" s="1"/>
      <c r="F140" s="4"/>
      <c r="G140" s="5">
        <f>F140-L138</f>
        <v>0</v>
      </c>
      <c r="H140" s="4">
        <f t="shared" si="14"/>
        <v>0</v>
      </c>
      <c r="I140" s="1" t="e">
        <f t="shared" si="15"/>
        <v>#DIV/0!</v>
      </c>
      <c r="J140" s="2"/>
      <c r="L140" s="37"/>
    </row>
    <row r="141" spans="1:12" ht="31.5" customHeight="1" hidden="1">
      <c r="A141" s="17" t="s">
        <v>416</v>
      </c>
      <c r="B141" s="64" t="s">
        <v>464</v>
      </c>
      <c r="C141" s="87" t="s">
        <v>199</v>
      </c>
      <c r="D141" s="88">
        <f>D142</f>
        <v>0</v>
      </c>
      <c r="E141" s="88">
        <f>E142</f>
        <v>50</v>
      </c>
      <c r="F141" s="88">
        <f>F142</f>
        <v>0</v>
      </c>
      <c r="G141" s="89">
        <f>G142</f>
        <v>0</v>
      </c>
      <c r="H141" s="5">
        <f t="shared" si="14"/>
        <v>0</v>
      </c>
      <c r="I141" s="6" t="e">
        <f t="shared" si="15"/>
        <v>#DIV/0!</v>
      </c>
      <c r="J141" s="2"/>
      <c r="L141" s="37"/>
    </row>
    <row r="142" spans="1:12" ht="29.25" customHeight="1" hidden="1">
      <c r="A142" s="19" t="s">
        <v>416</v>
      </c>
      <c r="B142" s="49" t="s">
        <v>417</v>
      </c>
      <c r="C142" s="7" t="s">
        <v>202</v>
      </c>
      <c r="D142" s="9">
        <v>0</v>
      </c>
      <c r="E142" s="9">
        <v>50</v>
      </c>
      <c r="F142" s="4">
        <v>0</v>
      </c>
      <c r="G142" s="5">
        <f>F142-L141</f>
        <v>0</v>
      </c>
      <c r="H142" s="4">
        <f t="shared" si="14"/>
        <v>0</v>
      </c>
      <c r="I142" s="1" t="e">
        <f t="shared" si="15"/>
        <v>#DIV/0!</v>
      </c>
      <c r="J142" s="2"/>
      <c r="L142" s="2"/>
    </row>
    <row r="143" spans="1:12" ht="30" customHeight="1" hidden="1">
      <c r="A143" s="19" t="s">
        <v>416</v>
      </c>
      <c r="B143" s="49" t="s">
        <v>478</v>
      </c>
      <c r="C143" s="7" t="s">
        <v>480</v>
      </c>
      <c r="D143" s="9"/>
      <c r="E143" s="9"/>
      <c r="F143" s="4"/>
      <c r="G143" s="5"/>
      <c r="H143" s="4">
        <f t="shared" si="14"/>
        <v>0</v>
      </c>
      <c r="I143" s="1" t="e">
        <f t="shared" si="15"/>
        <v>#DIV/0!</v>
      </c>
      <c r="J143" s="2"/>
      <c r="L143" s="2"/>
    </row>
    <row r="144" spans="1:12" ht="31.5">
      <c r="A144" s="17"/>
      <c r="B144" s="64" t="s">
        <v>367</v>
      </c>
      <c r="C144" s="74" t="s">
        <v>198</v>
      </c>
      <c r="D144" s="6">
        <f>SUM(D145:D149)</f>
        <v>944.581</v>
      </c>
      <c r="E144" s="6">
        <f>SUM(E145:E149)</f>
        <v>447.1</v>
      </c>
      <c r="F144" s="6">
        <f>SUM(F145:F149)</f>
        <v>936.7910899999999</v>
      </c>
      <c r="G144" s="6">
        <f>SUM(G145:G147)</f>
        <v>522.57989</v>
      </c>
      <c r="H144" s="5">
        <f t="shared" si="14"/>
        <v>-7.789910000000077</v>
      </c>
      <c r="I144" s="6">
        <f t="shared" si="15"/>
        <v>99.17530524115983</v>
      </c>
      <c r="J144" s="2"/>
      <c r="L144" s="37"/>
    </row>
    <row r="145" spans="1:12" ht="50.25" customHeight="1" hidden="1">
      <c r="A145" s="17" t="s">
        <v>326</v>
      </c>
      <c r="B145" s="64" t="s">
        <v>327</v>
      </c>
      <c r="C145" s="55" t="s">
        <v>9</v>
      </c>
      <c r="D145" s="6">
        <v>0</v>
      </c>
      <c r="E145" s="6">
        <v>140</v>
      </c>
      <c r="F145" s="5"/>
      <c r="G145" s="5">
        <f>F145-L144</f>
        <v>0</v>
      </c>
      <c r="H145" s="5">
        <f t="shared" si="14"/>
        <v>0</v>
      </c>
      <c r="I145" s="6" t="e">
        <f t="shared" si="15"/>
        <v>#DIV/0!</v>
      </c>
      <c r="J145" s="2"/>
      <c r="L145" s="37"/>
    </row>
    <row r="146" spans="1:12" ht="48" customHeight="1">
      <c r="A146" s="17" t="s">
        <v>326</v>
      </c>
      <c r="B146" s="64" t="s">
        <v>327</v>
      </c>
      <c r="C146" s="55" t="s">
        <v>195</v>
      </c>
      <c r="D146" s="6">
        <v>504.439</v>
      </c>
      <c r="E146" s="6">
        <v>292.6</v>
      </c>
      <c r="F146" s="5">
        <v>504.43289</v>
      </c>
      <c r="G146" s="5">
        <f>F146-L145</f>
        <v>504.43289</v>
      </c>
      <c r="H146" s="5">
        <f t="shared" si="14"/>
        <v>-0.006110000000035143</v>
      </c>
      <c r="I146" s="6">
        <f t="shared" si="15"/>
        <v>99.99878875344689</v>
      </c>
      <c r="J146" s="2"/>
      <c r="L146" s="37"/>
    </row>
    <row r="147" spans="1:12" ht="48.75" customHeight="1">
      <c r="A147" s="17" t="s">
        <v>326</v>
      </c>
      <c r="B147" s="64" t="s">
        <v>389</v>
      </c>
      <c r="C147" s="63" t="s">
        <v>196</v>
      </c>
      <c r="D147" s="6">
        <v>18.147</v>
      </c>
      <c r="E147" s="6">
        <v>12.5</v>
      </c>
      <c r="F147" s="5">
        <v>18.147</v>
      </c>
      <c r="G147" s="5">
        <f>F147-L146</f>
        <v>18.147</v>
      </c>
      <c r="H147" s="5">
        <f t="shared" si="14"/>
        <v>0</v>
      </c>
      <c r="I147" s="6">
        <f t="shared" si="15"/>
        <v>100</v>
      </c>
      <c r="J147" s="2"/>
      <c r="L147" s="37"/>
    </row>
    <row r="148" spans="1:12" ht="31.5" hidden="1">
      <c r="A148" s="17" t="s">
        <v>328</v>
      </c>
      <c r="B148" s="64" t="s">
        <v>435</v>
      </c>
      <c r="C148" s="63" t="s">
        <v>10</v>
      </c>
      <c r="D148" s="6">
        <v>0</v>
      </c>
      <c r="E148" s="6">
        <v>2</v>
      </c>
      <c r="F148" s="5">
        <v>0</v>
      </c>
      <c r="G148" s="5">
        <f>F148-L147</f>
        <v>0</v>
      </c>
      <c r="H148" s="5">
        <f t="shared" si="14"/>
        <v>0</v>
      </c>
      <c r="I148" s="6" t="e">
        <f t="shared" si="15"/>
        <v>#DIV/0!</v>
      </c>
      <c r="J148" s="2"/>
      <c r="L148" s="37"/>
    </row>
    <row r="149" spans="1:12" ht="49.5" customHeight="1">
      <c r="A149" s="17" t="s">
        <v>326</v>
      </c>
      <c r="B149" s="64" t="s">
        <v>327</v>
      </c>
      <c r="C149" s="63" t="s">
        <v>225</v>
      </c>
      <c r="D149" s="6">
        <v>421.995</v>
      </c>
      <c r="E149" s="6"/>
      <c r="F149" s="5">
        <v>414.2112</v>
      </c>
      <c r="G149" s="5"/>
      <c r="H149" s="5">
        <f t="shared" si="14"/>
        <v>-7.783799999999985</v>
      </c>
      <c r="I149" s="6">
        <f t="shared" si="15"/>
        <v>98.15547577577934</v>
      </c>
      <c r="J149" s="2"/>
      <c r="L149" s="37"/>
    </row>
    <row r="150" spans="1:12" ht="31.5">
      <c r="A150" s="17"/>
      <c r="B150" s="64" t="s">
        <v>48</v>
      </c>
      <c r="C150" s="63" t="s">
        <v>197</v>
      </c>
      <c r="D150" s="6">
        <f>D151+D152+D153+D156+D154+D155</f>
        <v>445.36347</v>
      </c>
      <c r="E150" s="6">
        <f>E151+E152+E153+E156+E154+E155</f>
        <v>10</v>
      </c>
      <c r="F150" s="6">
        <f>F151+F152+F153+F156+F154+F155</f>
        <v>319.74439</v>
      </c>
      <c r="G150" s="5"/>
      <c r="H150" s="5">
        <f t="shared" si="14"/>
        <v>-125.61908</v>
      </c>
      <c r="I150" s="6">
        <f t="shared" si="15"/>
        <v>71.7940315131818</v>
      </c>
      <c r="J150" s="2"/>
      <c r="L150" s="37"/>
    </row>
    <row r="151" spans="1:12" ht="65.25" customHeight="1">
      <c r="A151" s="17"/>
      <c r="B151" s="64" t="s">
        <v>435</v>
      </c>
      <c r="C151" s="63" t="s">
        <v>129</v>
      </c>
      <c r="D151" s="6">
        <v>2.385</v>
      </c>
      <c r="E151" s="6"/>
      <c r="F151" s="5">
        <v>0.505</v>
      </c>
      <c r="G151" s="5"/>
      <c r="H151" s="5">
        <f t="shared" si="14"/>
        <v>-1.88</v>
      </c>
      <c r="I151" s="6">
        <f t="shared" si="15"/>
        <v>21.17400419287212</v>
      </c>
      <c r="J151" s="2"/>
      <c r="L151" s="37"/>
    </row>
    <row r="152" spans="1:12" ht="63">
      <c r="A152" s="17" t="s">
        <v>328</v>
      </c>
      <c r="B152" s="64" t="s">
        <v>435</v>
      </c>
      <c r="C152" s="63" t="s">
        <v>201</v>
      </c>
      <c r="D152" s="6">
        <v>5.75847</v>
      </c>
      <c r="E152" s="6">
        <v>10</v>
      </c>
      <c r="F152" s="5">
        <v>4.66587</v>
      </c>
      <c r="G152" s="5">
        <f>F152-L148</f>
        <v>4.66587</v>
      </c>
      <c r="H152" s="5">
        <f t="shared" si="14"/>
        <v>-1.0926</v>
      </c>
      <c r="I152" s="6">
        <f t="shared" si="15"/>
        <v>81.02621008705438</v>
      </c>
      <c r="J152" s="2"/>
      <c r="L152" s="37"/>
    </row>
    <row r="153" spans="1:12" ht="47.25">
      <c r="A153" s="25" t="s">
        <v>328</v>
      </c>
      <c r="B153" s="64" t="s">
        <v>435</v>
      </c>
      <c r="C153" s="63" t="s">
        <v>226</v>
      </c>
      <c r="D153" s="6">
        <v>7.8</v>
      </c>
      <c r="E153" s="6"/>
      <c r="F153" s="5">
        <v>7.8</v>
      </c>
      <c r="G153" s="5"/>
      <c r="H153" s="5">
        <f t="shared" si="14"/>
        <v>0</v>
      </c>
      <c r="I153" s="6">
        <f t="shared" si="15"/>
        <v>100</v>
      </c>
      <c r="J153" s="2"/>
      <c r="L153" s="37"/>
    </row>
    <row r="154" spans="1:12" ht="63.75" customHeight="1">
      <c r="A154" s="25"/>
      <c r="B154" s="64" t="s">
        <v>435</v>
      </c>
      <c r="C154" s="63" t="s">
        <v>201</v>
      </c>
      <c r="D154" s="6">
        <v>405.62</v>
      </c>
      <c r="E154" s="6"/>
      <c r="F154" s="5">
        <v>287.97352</v>
      </c>
      <c r="G154" s="5"/>
      <c r="H154" s="5">
        <f t="shared" si="14"/>
        <v>-117.64648</v>
      </c>
      <c r="I154" s="6">
        <f t="shared" si="15"/>
        <v>70.99588777673685</v>
      </c>
      <c r="J154" s="2"/>
      <c r="L154" s="37"/>
    </row>
    <row r="155" spans="1:12" ht="31.5">
      <c r="A155" s="25"/>
      <c r="B155" s="64" t="s">
        <v>435</v>
      </c>
      <c r="C155" s="63" t="s">
        <v>130</v>
      </c>
      <c r="D155" s="6">
        <v>18.8</v>
      </c>
      <c r="E155" s="6"/>
      <c r="F155" s="5">
        <v>18.8</v>
      </c>
      <c r="G155" s="5"/>
      <c r="H155" s="5">
        <f t="shared" si="14"/>
        <v>0</v>
      </c>
      <c r="I155" s="6">
        <f t="shared" si="15"/>
        <v>100</v>
      </c>
      <c r="J155" s="2"/>
      <c r="L155" s="37"/>
    </row>
    <row r="156" spans="1:12" ht="30.75" customHeight="1">
      <c r="A156" s="25" t="s">
        <v>328</v>
      </c>
      <c r="B156" s="64" t="s">
        <v>203</v>
      </c>
      <c r="C156" s="63" t="s">
        <v>204</v>
      </c>
      <c r="D156" s="6">
        <v>5</v>
      </c>
      <c r="E156" s="6"/>
      <c r="F156" s="5">
        <v>0</v>
      </c>
      <c r="G156" s="5"/>
      <c r="H156" s="5">
        <f t="shared" si="14"/>
        <v>-5</v>
      </c>
      <c r="I156" s="6">
        <f t="shared" si="15"/>
        <v>0</v>
      </c>
      <c r="J156" s="2"/>
      <c r="L156" s="37"/>
    </row>
    <row r="157" spans="1:12" ht="32.25" customHeight="1">
      <c r="A157" s="17" t="s">
        <v>418</v>
      </c>
      <c r="B157" s="64" t="s">
        <v>465</v>
      </c>
      <c r="C157" s="55" t="s">
        <v>207</v>
      </c>
      <c r="D157" s="6">
        <f>D158+D159</f>
        <v>287.4</v>
      </c>
      <c r="E157" s="6">
        <f>E158+E159</f>
        <v>119.7</v>
      </c>
      <c r="F157" s="6">
        <f>F158+F159</f>
        <v>266.81414</v>
      </c>
      <c r="G157" s="5"/>
      <c r="H157" s="5">
        <f t="shared" si="14"/>
        <v>-20.58585999999997</v>
      </c>
      <c r="I157" s="6">
        <f t="shared" si="15"/>
        <v>92.83720946416146</v>
      </c>
      <c r="J157" s="2"/>
      <c r="L157" s="37"/>
    </row>
    <row r="158" spans="1:12" ht="60" customHeight="1">
      <c r="A158" s="17" t="s">
        <v>418</v>
      </c>
      <c r="B158" s="64" t="s">
        <v>347</v>
      </c>
      <c r="C158" s="55" t="s">
        <v>208</v>
      </c>
      <c r="D158" s="6">
        <v>32.8</v>
      </c>
      <c r="E158" s="6">
        <v>20</v>
      </c>
      <c r="F158" s="5">
        <v>19.203</v>
      </c>
      <c r="G158" s="5">
        <f>F158-L157</f>
        <v>19.203</v>
      </c>
      <c r="H158" s="5">
        <f t="shared" si="14"/>
        <v>-13.596999999999998</v>
      </c>
      <c r="I158" s="6">
        <f t="shared" si="15"/>
        <v>58.545731707317074</v>
      </c>
      <c r="J158" s="2"/>
      <c r="L158" s="37"/>
    </row>
    <row r="159" spans="1:12" ht="31.5">
      <c r="A159" s="17" t="s">
        <v>418</v>
      </c>
      <c r="B159" s="64" t="s">
        <v>339</v>
      </c>
      <c r="C159" s="55" t="s">
        <v>472</v>
      </c>
      <c r="D159" s="6">
        <v>254.6</v>
      </c>
      <c r="E159" s="6">
        <v>99.7</v>
      </c>
      <c r="F159" s="5">
        <v>247.61114</v>
      </c>
      <c r="G159" s="5">
        <f>F159-L158</f>
        <v>247.61114</v>
      </c>
      <c r="H159" s="5">
        <f t="shared" si="14"/>
        <v>-6.988859999999988</v>
      </c>
      <c r="I159" s="6">
        <f t="shared" si="15"/>
        <v>97.25496465043206</v>
      </c>
      <c r="J159" s="2"/>
      <c r="L159" s="37"/>
    </row>
    <row r="160" spans="1:12" ht="15" customHeight="1">
      <c r="A160" s="17"/>
      <c r="B160" s="64" t="s">
        <v>466</v>
      </c>
      <c r="C160" s="55" t="s">
        <v>209</v>
      </c>
      <c r="D160" s="6">
        <f>D162+D171+D173+D174+D175+D176+D177+D178+D181+D180+D172+D163+D179</f>
        <v>444.75901</v>
      </c>
      <c r="E160" s="6">
        <f>E162+E171+E173+E174+E175+E176+E177+E178+E181+E180+E172+E163+E179</f>
        <v>0</v>
      </c>
      <c r="F160" s="6">
        <f>F162+F171+F173+F174+F175+F176+F177+F178+F181+F180+F172+F163+F179</f>
        <v>393.05629000000005</v>
      </c>
      <c r="G160" s="6" t="e">
        <f>G161+G162+G163+G164+G167+G168+G173+G174+G181+#REF!+#REF!+#REF!</f>
        <v>#REF!</v>
      </c>
      <c r="H160" s="5">
        <f t="shared" si="14"/>
        <v>-51.70271999999994</v>
      </c>
      <c r="I160" s="6">
        <f t="shared" si="15"/>
        <v>88.3751157733713</v>
      </c>
      <c r="J160" s="2"/>
      <c r="L160" s="37"/>
    </row>
    <row r="161" spans="1:12" ht="13.5" customHeight="1" hidden="1">
      <c r="A161" s="17" t="s">
        <v>329</v>
      </c>
      <c r="B161" s="48" t="s">
        <v>330</v>
      </c>
      <c r="C161" s="18" t="s">
        <v>364</v>
      </c>
      <c r="D161" s="1">
        <v>0</v>
      </c>
      <c r="E161" s="1">
        <v>60</v>
      </c>
      <c r="F161" s="4">
        <v>0</v>
      </c>
      <c r="G161" s="5">
        <f>F161-L160</f>
        <v>0</v>
      </c>
      <c r="H161" s="4">
        <f t="shared" si="14"/>
        <v>0</v>
      </c>
      <c r="I161" s="1" t="e">
        <f t="shared" si="15"/>
        <v>#DIV/0!</v>
      </c>
      <c r="J161" s="2"/>
      <c r="L161" s="2"/>
    </row>
    <row r="162" spans="1:12" ht="47.25" hidden="1">
      <c r="A162" s="17" t="s">
        <v>329</v>
      </c>
      <c r="B162" s="64" t="s">
        <v>428</v>
      </c>
      <c r="C162" s="55" t="s">
        <v>210</v>
      </c>
      <c r="D162" s="6"/>
      <c r="E162" s="6"/>
      <c r="F162" s="6"/>
      <c r="G162" s="5">
        <f>F162-L161</f>
        <v>0</v>
      </c>
      <c r="H162" s="5">
        <f t="shared" si="14"/>
        <v>0</v>
      </c>
      <c r="I162" s="6" t="e">
        <f t="shared" si="15"/>
        <v>#DIV/0!</v>
      </c>
      <c r="J162" s="2"/>
      <c r="L162" s="37"/>
    </row>
    <row r="163" spans="1:12" ht="47.25">
      <c r="A163" s="17" t="s">
        <v>332</v>
      </c>
      <c r="B163" s="48" t="s">
        <v>428</v>
      </c>
      <c r="C163" s="7" t="s">
        <v>211</v>
      </c>
      <c r="D163" s="1">
        <v>62.55367</v>
      </c>
      <c r="E163" s="1"/>
      <c r="F163" s="4">
        <v>60.22863</v>
      </c>
      <c r="G163" s="5">
        <f>F163-L162</f>
        <v>60.22863</v>
      </c>
      <c r="H163" s="4">
        <f t="shared" si="14"/>
        <v>-2.3250399999999942</v>
      </c>
      <c r="I163" s="1">
        <f t="shared" si="15"/>
        <v>96.28312775253634</v>
      </c>
      <c r="J163" s="2"/>
      <c r="L163" s="37"/>
    </row>
    <row r="164" spans="1:12" ht="0.75" customHeight="1">
      <c r="A164" s="19" t="s">
        <v>332</v>
      </c>
      <c r="B164" s="49" t="s">
        <v>338</v>
      </c>
      <c r="C164" s="26" t="s">
        <v>3</v>
      </c>
      <c r="D164" s="1">
        <v>0</v>
      </c>
      <c r="E164" s="1"/>
      <c r="F164" s="4"/>
      <c r="G164" s="5">
        <f>F164-L163</f>
        <v>0</v>
      </c>
      <c r="H164" s="4">
        <f t="shared" si="14"/>
        <v>0</v>
      </c>
      <c r="I164" s="1" t="e">
        <f t="shared" si="15"/>
        <v>#DIV/0!</v>
      </c>
      <c r="J164" s="2"/>
      <c r="L164" s="2"/>
    </row>
    <row r="165" spans="1:12" ht="31.5" hidden="1">
      <c r="A165" s="17" t="s">
        <v>329</v>
      </c>
      <c r="B165" s="48" t="s">
        <v>331</v>
      </c>
      <c r="C165" s="7" t="s">
        <v>437</v>
      </c>
      <c r="D165" s="1"/>
      <c r="E165" s="1">
        <v>0</v>
      </c>
      <c r="F165" s="1"/>
      <c r="G165" s="5">
        <f>F165-L164</f>
        <v>0</v>
      </c>
      <c r="H165" s="4">
        <f t="shared" si="14"/>
        <v>0</v>
      </c>
      <c r="I165" s="1" t="e">
        <f t="shared" si="15"/>
        <v>#DIV/0!</v>
      </c>
      <c r="J165" s="2"/>
      <c r="L165" s="2"/>
    </row>
    <row r="166" spans="1:12" ht="15.75" hidden="1">
      <c r="A166" s="25"/>
      <c r="B166" s="51"/>
      <c r="C166" s="7"/>
      <c r="D166" s="10"/>
      <c r="E166" s="10"/>
      <c r="F166" s="10"/>
      <c r="G166" s="8"/>
      <c r="H166" s="8"/>
      <c r="I166" s="10"/>
      <c r="J166" s="2"/>
      <c r="L166" s="2"/>
    </row>
    <row r="167" spans="1:12" ht="47.25" hidden="1">
      <c r="A167" s="17" t="s">
        <v>329</v>
      </c>
      <c r="B167" s="48" t="s">
        <v>331</v>
      </c>
      <c r="C167" s="7" t="s">
        <v>5</v>
      </c>
      <c r="D167" s="6"/>
      <c r="E167" s="1"/>
      <c r="F167" s="1"/>
      <c r="G167" s="5"/>
      <c r="H167" s="4">
        <f aca="true" t="shared" si="16" ref="H167:H186">F167-D167</f>
        <v>0</v>
      </c>
      <c r="I167" s="1" t="e">
        <f aca="true" t="shared" si="17" ref="I167:I186">F167/D167*100</f>
        <v>#DIV/0!</v>
      </c>
      <c r="J167" s="2"/>
      <c r="L167" s="2"/>
    </row>
    <row r="168" spans="1:12" ht="15.75" hidden="1">
      <c r="A168" s="17" t="s">
        <v>329</v>
      </c>
      <c r="B168" s="48" t="s">
        <v>331</v>
      </c>
      <c r="C168" s="7" t="s">
        <v>4</v>
      </c>
      <c r="D168" s="6"/>
      <c r="E168" s="1">
        <v>0.3</v>
      </c>
      <c r="F168" s="1"/>
      <c r="G168" s="5">
        <f>F168-L166</f>
        <v>0</v>
      </c>
      <c r="H168" s="4">
        <f t="shared" si="16"/>
        <v>0</v>
      </c>
      <c r="I168" s="1" t="e">
        <f t="shared" si="17"/>
        <v>#DIV/0!</v>
      </c>
      <c r="J168" s="2"/>
      <c r="L168" s="2"/>
    </row>
    <row r="169" spans="1:12" ht="15.75" hidden="1">
      <c r="A169" s="17" t="s">
        <v>329</v>
      </c>
      <c r="B169" s="48" t="s">
        <v>331</v>
      </c>
      <c r="C169" s="7" t="s">
        <v>450</v>
      </c>
      <c r="D169" s="11">
        <v>0</v>
      </c>
      <c r="E169" s="1">
        <v>2.5</v>
      </c>
      <c r="F169" s="1">
        <v>0</v>
      </c>
      <c r="G169" s="5">
        <f>F169-L168</f>
        <v>0</v>
      </c>
      <c r="H169" s="4">
        <f t="shared" si="16"/>
        <v>0</v>
      </c>
      <c r="I169" s="1" t="e">
        <f t="shared" si="17"/>
        <v>#DIV/0!</v>
      </c>
      <c r="J169" s="2"/>
      <c r="L169" s="2"/>
    </row>
    <row r="170" spans="1:12" ht="31.5" hidden="1">
      <c r="A170" s="17" t="s">
        <v>329</v>
      </c>
      <c r="B170" s="48" t="s">
        <v>331</v>
      </c>
      <c r="C170" s="7" t="s">
        <v>477</v>
      </c>
      <c r="D170" s="6"/>
      <c r="E170" s="1">
        <v>50</v>
      </c>
      <c r="F170" s="1">
        <v>0</v>
      </c>
      <c r="G170" s="5">
        <f>F170-L169</f>
        <v>0</v>
      </c>
      <c r="H170" s="4">
        <f t="shared" si="16"/>
        <v>0</v>
      </c>
      <c r="I170" s="1" t="e">
        <f t="shared" si="17"/>
        <v>#DIV/0!</v>
      </c>
      <c r="J170" s="2"/>
      <c r="L170" s="2"/>
    </row>
    <row r="171" spans="1:12" ht="15.75" hidden="1">
      <c r="A171" s="17" t="s">
        <v>329</v>
      </c>
      <c r="B171" s="48" t="s">
        <v>330</v>
      </c>
      <c r="C171" s="7" t="s">
        <v>364</v>
      </c>
      <c r="D171" s="6"/>
      <c r="E171" s="1"/>
      <c r="F171" s="1">
        <v>0</v>
      </c>
      <c r="G171" s="5"/>
      <c r="H171" s="4">
        <f t="shared" si="16"/>
        <v>0</v>
      </c>
      <c r="I171" s="1" t="e">
        <f t="shared" si="17"/>
        <v>#DIV/0!</v>
      </c>
      <c r="J171" s="2"/>
      <c r="L171" s="2"/>
    </row>
    <row r="172" spans="1:12" ht="47.25" hidden="1">
      <c r="A172" s="17"/>
      <c r="B172" s="48" t="s">
        <v>80</v>
      </c>
      <c r="C172" s="7" t="s">
        <v>81</v>
      </c>
      <c r="D172" s="6"/>
      <c r="E172" s="1"/>
      <c r="F172" s="1">
        <v>0</v>
      </c>
      <c r="G172" s="5"/>
      <c r="H172" s="4">
        <f t="shared" si="16"/>
        <v>0</v>
      </c>
      <c r="I172" s="1" t="e">
        <f t="shared" si="17"/>
        <v>#DIV/0!</v>
      </c>
      <c r="J172" s="2"/>
      <c r="L172" s="2"/>
    </row>
    <row r="173" spans="1:12" ht="48.75" customHeight="1">
      <c r="A173" s="17" t="s">
        <v>332</v>
      </c>
      <c r="B173" s="48" t="s">
        <v>467</v>
      </c>
      <c r="C173" s="7" t="s">
        <v>227</v>
      </c>
      <c r="D173" s="6">
        <v>100.35</v>
      </c>
      <c r="E173" s="1"/>
      <c r="F173" s="1">
        <v>100.29734</v>
      </c>
      <c r="G173" s="5"/>
      <c r="H173" s="4">
        <f t="shared" si="16"/>
        <v>-0.05265999999998883</v>
      </c>
      <c r="I173" s="1">
        <f t="shared" si="17"/>
        <v>99.94752366716494</v>
      </c>
      <c r="J173" s="2"/>
      <c r="L173" s="2"/>
    </row>
    <row r="174" spans="1:12" ht="63">
      <c r="A174" s="17" t="s">
        <v>332</v>
      </c>
      <c r="B174" s="48" t="s">
        <v>467</v>
      </c>
      <c r="C174" s="7" t="s">
        <v>212</v>
      </c>
      <c r="D174" s="6">
        <v>19.7</v>
      </c>
      <c r="E174" s="1"/>
      <c r="F174" s="1">
        <v>18.73943</v>
      </c>
      <c r="G174" s="5"/>
      <c r="H174" s="4">
        <f t="shared" si="16"/>
        <v>-0.9605700000000006</v>
      </c>
      <c r="I174" s="1">
        <f t="shared" si="17"/>
        <v>95.12401015228427</v>
      </c>
      <c r="J174" s="2"/>
      <c r="L174" s="2"/>
    </row>
    <row r="175" spans="1:12" ht="63">
      <c r="A175" s="17"/>
      <c r="B175" s="48" t="s">
        <v>467</v>
      </c>
      <c r="C175" s="7" t="s">
        <v>228</v>
      </c>
      <c r="D175" s="6">
        <v>27.834</v>
      </c>
      <c r="E175" s="1"/>
      <c r="F175" s="1">
        <v>21.12398</v>
      </c>
      <c r="G175" s="5"/>
      <c r="H175" s="4">
        <f t="shared" si="16"/>
        <v>-6.71002</v>
      </c>
      <c r="I175" s="1">
        <f t="shared" si="17"/>
        <v>75.89272113242797</v>
      </c>
      <c r="J175" s="2"/>
      <c r="L175" s="2"/>
    </row>
    <row r="176" spans="1:12" ht="78.75">
      <c r="A176" s="17"/>
      <c r="B176" s="48" t="s">
        <v>467</v>
      </c>
      <c r="C176" s="7" t="s">
        <v>273</v>
      </c>
      <c r="D176" s="6">
        <v>15</v>
      </c>
      <c r="E176" s="1"/>
      <c r="F176" s="1">
        <v>12.57388</v>
      </c>
      <c r="G176" s="5"/>
      <c r="H176" s="4">
        <f t="shared" si="16"/>
        <v>-2.426119999999999</v>
      </c>
      <c r="I176" s="1">
        <f t="shared" si="17"/>
        <v>83.82586666666667</v>
      </c>
      <c r="J176" s="2"/>
      <c r="L176" s="2"/>
    </row>
    <row r="177" spans="1:12" ht="63">
      <c r="A177" s="17"/>
      <c r="B177" s="48" t="s">
        <v>467</v>
      </c>
      <c r="C177" s="7" t="s">
        <v>214</v>
      </c>
      <c r="D177" s="6">
        <v>44.75</v>
      </c>
      <c r="E177" s="1"/>
      <c r="F177" s="1">
        <v>39.73583</v>
      </c>
      <c r="G177" s="5"/>
      <c r="H177" s="4">
        <f t="shared" si="16"/>
        <v>-5.01417</v>
      </c>
      <c r="I177" s="1">
        <f t="shared" si="17"/>
        <v>88.79515083798883</v>
      </c>
      <c r="J177" s="2"/>
      <c r="L177" s="2"/>
    </row>
    <row r="178" spans="1:12" ht="78" customHeight="1">
      <c r="A178" s="17"/>
      <c r="B178" s="48" t="s">
        <v>467</v>
      </c>
      <c r="C178" s="7" t="s">
        <v>215</v>
      </c>
      <c r="D178" s="6">
        <v>23.5</v>
      </c>
      <c r="E178" s="1"/>
      <c r="F178" s="1">
        <v>22.744</v>
      </c>
      <c r="G178" s="5"/>
      <c r="H178" s="4">
        <f t="shared" si="16"/>
        <v>-0.7560000000000002</v>
      </c>
      <c r="I178" s="1">
        <f t="shared" si="17"/>
        <v>96.78297872340426</v>
      </c>
      <c r="J178" s="2"/>
      <c r="L178" s="2"/>
    </row>
    <row r="179" spans="1:12" ht="76.5" customHeight="1">
      <c r="A179" s="17"/>
      <c r="B179" s="48" t="s">
        <v>467</v>
      </c>
      <c r="C179" s="7" t="s">
        <v>0</v>
      </c>
      <c r="D179" s="6">
        <v>25</v>
      </c>
      <c r="E179" s="1"/>
      <c r="F179" s="1">
        <v>25</v>
      </c>
      <c r="G179" s="5"/>
      <c r="H179" s="4">
        <f t="shared" si="16"/>
        <v>0</v>
      </c>
      <c r="I179" s="1">
        <f t="shared" si="17"/>
        <v>100</v>
      </c>
      <c r="J179" s="2"/>
      <c r="L179" s="2"/>
    </row>
    <row r="180" spans="1:12" ht="78.75" hidden="1">
      <c r="A180" s="17"/>
      <c r="B180" s="48" t="s">
        <v>467</v>
      </c>
      <c r="C180" s="7" t="s">
        <v>79</v>
      </c>
      <c r="D180" s="6">
        <v>0</v>
      </c>
      <c r="E180" s="1"/>
      <c r="F180" s="1">
        <v>0</v>
      </c>
      <c r="G180" s="5"/>
      <c r="H180" s="4">
        <f t="shared" si="16"/>
        <v>0</v>
      </c>
      <c r="I180" s="1" t="e">
        <f t="shared" si="17"/>
        <v>#DIV/0!</v>
      </c>
      <c r="J180" s="2"/>
      <c r="L180" s="2"/>
    </row>
    <row r="181" spans="1:12" ht="14.25" customHeight="1">
      <c r="A181" s="17" t="s">
        <v>332</v>
      </c>
      <c r="B181" s="48" t="s">
        <v>331</v>
      </c>
      <c r="C181" s="7" t="s">
        <v>216</v>
      </c>
      <c r="D181" s="6">
        <v>126.07134</v>
      </c>
      <c r="E181" s="1"/>
      <c r="F181" s="1">
        <v>92.6132</v>
      </c>
      <c r="G181" s="5"/>
      <c r="H181" s="4">
        <f t="shared" si="16"/>
        <v>-33.45814</v>
      </c>
      <c r="I181" s="1">
        <f t="shared" si="17"/>
        <v>73.46094679409293</v>
      </c>
      <c r="J181" s="2"/>
      <c r="L181" s="2"/>
    </row>
    <row r="182" spans="1:12" ht="13.5" customHeight="1" hidden="1">
      <c r="A182" s="17"/>
      <c r="B182" s="48" t="s">
        <v>467</v>
      </c>
      <c r="C182" s="7" t="s">
        <v>16</v>
      </c>
      <c r="D182" s="6"/>
      <c r="E182" s="1"/>
      <c r="F182" s="1">
        <v>0</v>
      </c>
      <c r="G182" s="5"/>
      <c r="H182" s="4">
        <f t="shared" si="16"/>
        <v>0</v>
      </c>
      <c r="I182" s="1" t="e">
        <f t="shared" si="17"/>
        <v>#DIV/0!</v>
      </c>
      <c r="J182" s="2"/>
      <c r="L182" s="2"/>
    </row>
    <row r="183" spans="1:12" ht="15.75">
      <c r="A183" s="90"/>
      <c r="B183" s="64"/>
      <c r="C183" s="55" t="s">
        <v>419</v>
      </c>
      <c r="D183" s="6">
        <f>D10+D20+D21+D38+D114+D123+D130+D135+D141+D144+D150+D157+D160</f>
        <v>139007.98433000004</v>
      </c>
      <c r="E183" s="6">
        <f>E10+E20+E21+E38+E114+E123+E130+E135+E141+E144+E150+E157+E160</f>
        <v>36216.49999999999</v>
      </c>
      <c r="F183" s="6">
        <f>F10+F20+F21+F38+F114+F123+F130+F135+F141+F144+F150+F157+F160</f>
        <v>133847.29607000004</v>
      </c>
      <c r="G183" s="6" t="e">
        <f>G10+G21+G36+G38+G114+G123+G130+G135+G140+G142+G144+G148+G152+G158+G159+G161+G162+G164+G163+G165+G166+G168+G169+G170</f>
        <v>#REF!</v>
      </c>
      <c r="H183" s="5">
        <f t="shared" si="16"/>
        <v>-5160.688259999995</v>
      </c>
      <c r="I183" s="6">
        <f t="shared" si="17"/>
        <v>96.28748788432993</v>
      </c>
      <c r="J183" s="2"/>
      <c r="L183" s="37"/>
    </row>
    <row r="184" spans="1:12" ht="18.75" customHeight="1">
      <c r="A184" s="90" t="s">
        <v>332</v>
      </c>
      <c r="B184" s="64" t="s">
        <v>333</v>
      </c>
      <c r="C184" s="55" t="s">
        <v>420</v>
      </c>
      <c r="D184" s="6">
        <v>42313.4</v>
      </c>
      <c r="E184" s="6">
        <v>10216.7</v>
      </c>
      <c r="F184" s="5">
        <v>39871.01166</v>
      </c>
      <c r="G184" s="5">
        <f>F184-L183</f>
        <v>39871.01166</v>
      </c>
      <c r="H184" s="5">
        <f t="shared" si="16"/>
        <v>-2442.388340000005</v>
      </c>
      <c r="I184" s="6">
        <f t="shared" si="17"/>
        <v>94.22786081950397</v>
      </c>
      <c r="J184" s="2"/>
      <c r="L184" s="2"/>
    </row>
    <row r="185" spans="1:12" ht="33.75" customHeight="1">
      <c r="A185" s="90"/>
      <c r="B185" s="64" t="s">
        <v>131</v>
      </c>
      <c r="C185" s="55" t="s">
        <v>404</v>
      </c>
      <c r="D185" s="6">
        <v>135.012</v>
      </c>
      <c r="E185" s="6"/>
      <c r="F185" s="5">
        <v>135.01154</v>
      </c>
      <c r="G185" s="5"/>
      <c r="H185" s="5">
        <f t="shared" si="16"/>
        <v>-0.00046000000000390173</v>
      </c>
      <c r="I185" s="6">
        <f t="shared" si="17"/>
        <v>99.99965928954462</v>
      </c>
      <c r="J185" s="2"/>
      <c r="L185" s="2"/>
    </row>
    <row r="186" spans="1:12" ht="15.75">
      <c r="A186" s="90"/>
      <c r="B186" s="90"/>
      <c r="C186" s="55" t="s">
        <v>289</v>
      </c>
      <c r="D186" s="6">
        <f>SUM(D183:D185)</f>
        <v>181456.39633000002</v>
      </c>
      <c r="E186" s="6">
        <f>SUM(E183:E185)</f>
        <v>46433.2</v>
      </c>
      <c r="F186" s="6">
        <f>SUM(F183:F185)</f>
        <v>173853.31927000004</v>
      </c>
      <c r="G186" s="6" t="e">
        <f>G183+G184</f>
        <v>#REF!</v>
      </c>
      <c r="H186" s="5">
        <f t="shared" si="16"/>
        <v>-7603.077059999981</v>
      </c>
      <c r="I186" s="6">
        <f t="shared" si="17"/>
        <v>95.80997021115041</v>
      </c>
      <c r="J186" s="58"/>
      <c r="L186" s="29"/>
    </row>
    <row r="187" spans="1:12" ht="15.75">
      <c r="A187" s="111"/>
      <c r="B187" s="111"/>
      <c r="C187" s="111"/>
      <c r="D187" s="111"/>
      <c r="E187" s="111"/>
      <c r="F187" s="111"/>
      <c r="G187" s="111"/>
      <c r="H187" s="111"/>
      <c r="I187" s="112"/>
      <c r="J187" s="58"/>
      <c r="L187" s="29"/>
    </row>
    <row r="188" spans="1:12" s="28" customFormat="1" ht="15.75">
      <c r="A188" s="91"/>
      <c r="B188" s="92"/>
      <c r="C188" s="93" t="s">
        <v>475</v>
      </c>
      <c r="D188" s="71">
        <f>D189+D191+D203+D207+D222+D228+D231+D237+D241+D245+D248+D251+D257+D190</f>
        <v>19986.75098</v>
      </c>
      <c r="E188" s="71">
        <f>E189+E191+E203+E207+E222+E228+E231+E237+E241+E245+E248+E251+E257+E190</f>
        <v>116</v>
      </c>
      <c r="F188" s="71">
        <f>F189+F191+F203+F207+F222+F228+F231+F237+F241+F245+F248+F251+F257+F190</f>
        <v>11129.96359</v>
      </c>
      <c r="G188" s="13"/>
      <c r="H188" s="5">
        <f aca="true" t="shared" si="18" ref="H188:H219">F188-D188</f>
        <v>-8856.787390000001</v>
      </c>
      <c r="I188" s="6">
        <f aca="true" t="shared" si="19" ref="I188:I219">F188/D188*100</f>
        <v>55.686707665179505</v>
      </c>
      <c r="J188" s="103"/>
      <c r="L188" s="104"/>
    </row>
    <row r="189" spans="1:12" ht="30" customHeight="1">
      <c r="A189" s="94"/>
      <c r="B189" s="95" t="s">
        <v>237</v>
      </c>
      <c r="C189" s="96" t="s">
        <v>90</v>
      </c>
      <c r="D189" s="71">
        <v>603.61589</v>
      </c>
      <c r="E189" s="71"/>
      <c r="F189" s="71">
        <v>164.09332</v>
      </c>
      <c r="G189" s="13"/>
      <c r="H189" s="5">
        <f t="shared" si="18"/>
        <v>-439.52257000000003</v>
      </c>
      <c r="I189" s="6">
        <f t="shared" si="19"/>
        <v>27.185056377491986</v>
      </c>
      <c r="J189" s="58"/>
      <c r="L189" s="29"/>
    </row>
    <row r="190" spans="1:12" ht="72" customHeight="1" hidden="1">
      <c r="A190" s="94"/>
      <c r="B190" s="95" t="s">
        <v>230</v>
      </c>
      <c r="C190" s="96" t="s">
        <v>231</v>
      </c>
      <c r="D190" s="76">
        <v>0</v>
      </c>
      <c r="E190" s="76"/>
      <c r="F190" s="76">
        <v>0</v>
      </c>
      <c r="G190" s="101"/>
      <c r="H190" s="5">
        <f t="shared" si="18"/>
        <v>0</v>
      </c>
      <c r="I190" s="73" t="e">
        <f t="shared" si="19"/>
        <v>#DIV/0!</v>
      </c>
      <c r="J190" s="58"/>
      <c r="L190" s="29"/>
    </row>
    <row r="191" spans="1:12" ht="34.5" customHeight="1">
      <c r="A191" s="97"/>
      <c r="B191" s="102" t="s">
        <v>298</v>
      </c>
      <c r="C191" s="98" t="s">
        <v>458</v>
      </c>
      <c r="D191" s="76">
        <f>D192+D194+D197+D195+D200+D193+D196+D198+D199+D202+D201</f>
        <v>2334.4828700000003</v>
      </c>
      <c r="E191" s="76">
        <f>E192+E194+E197+E195+E200+E193+E196+E198+E199+E202+E201</f>
        <v>0</v>
      </c>
      <c r="F191" s="76">
        <f>F192+F194+F197+F195+F200+F193+F196+F198+F199+F202+F201</f>
        <v>1185.18775</v>
      </c>
      <c r="G191" s="68"/>
      <c r="H191" s="68">
        <f t="shared" si="18"/>
        <v>-1149.2951200000002</v>
      </c>
      <c r="I191" s="73">
        <f t="shared" si="19"/>
        <v>50.768749054903104</v>
      </c>
      <c r="J191" s="58"/>
      <c r="L191" s="29"/>
    </row>
    <row r="192" spans="1:12" ht="31.5">
      <c r="A192" s="97"/>
      <c r="B192" s="75" t="s">
        <v>356</v>
      </c>
      <c r="C192" s="63" t="s">
        <v>284</v>
      </c>
      <c r="D192" s="76">
        <v>1169.80348</v>
      </c>
      <c r="E192" s="76"/>
      <c r="F192" s="76">
        <v>524.17478</v>
      </c>
      <c r="G192" s="68"/>
      <c r="H192" s="68">
        <f t="shared" si="18"/>
        <v>-645.6287</v>
      </c>
      <c r="I192" s="73">
        <f t="shared" si="19"/>
        <v>44.80878959259037</v>
      </c>
      <c r="J192" s="58"/>
      <c r="L192" s="29"/>
    </row>
    <row r="193" spans="1:12" ht="80.25" customHeight="1">
      <c r="A193" s="27"/>
      <c r="B193" s="75" t="s">
        <v>356</v>
      </c>
      <c r="C193" s="63" t="s">
        <v>82</v>
      </c>
      <c r="D193" s="76">
        <v>0.31044</v>
      </c>
      <c r="E193" s="76"/>
      <c r="F193" s="76">
        <v>0.31044</v>
      </c>
      <c r="G193" s="68"/>
      <c r="H193" s="68">
        <f t="shared" si="18"/>
        <v>0</v>
      </c>
      <c r="I193" s="73">
        <f t="shared" si="19"/>
        <v>100</v>
      </c>
      <c r="J193" s="58"/>
      <c r="L193" s="29"/>
    </row>
    <row r="194" spans="1:12" ht="50.25" customHeight="1">
      <c r="A194" s="27"/>
      <c r="B194" s="75" t="s">
        <v>356</v>
      </c>
      <c r="C194" s="63" t="s">
        <v>184</v>
      </c>
      <c r="D194" s="76">
        <v>38.391</v>
      </c>
      <c r="E194" s="76"/>
      <c r="F194" s="76">
        <v>38.391</v>
      </c>
      <c r="G194" s="68"/>
      <c r="H194" s="68">
        <f t="shared" si="18"/>
        <v>0</v>
      </c>
      <c r="I194" s="73">
        <f t="shared" si="19"/>
        <v>100</v>
      </c>
      <c r="J194" s="58"/>
      <c r="L194" s="29"/>
    </row>
    <row r="195" spans="1:12" ht="32.25" customHeight="1">
      <c r="A195" s="27"/>
      <c r="B195" s="75" t="s">
        <v>358</v>
      </c>
      <c r="C195" s="63" t="s">
        <v>285</v>
      </c>
      <c r="D195" s="76">
        <v>648.48067</v>
      </c>
      <c r="E195" s="76"/>
      <c r="F195" s="76">
        <v>502.17525</v>
      </c>
      <c r="G195" s="68"/>
      <c r="H195" s="68">
        <f t="shared" si="18"/>
        <v>-146.30542000000003</v>
      </c>
      <c r="I195" s="73">
        <f t="shared" si="19"/>
        <v>77.43873845923581</v>
      </c>
      <c r="J195" s="58"/>
      <c r="L195" s="29"/>
    </row>
    <row r="196" spans="1:12" ht="80.25" customHeight="1">
      <c r="A196" s="27"/>
      <c r="B196" s="75" t="s">
        <v>358</v>
      </c>
      <c r="C196" s="63" t="s">
        <v>82</v>
      </c>
      <c r="D196" s="76">
        <f>79.77628+153.972</f>
        <v>233.74828000000002</v>
      </c>
      <c r="E196" s="76"/>
      <c r="F196" s="76">
        <v>79.77628</v>
      </c>
      <c r="G196" s="68"/>
      <c r="H196" s="68">
        <f t="shared" si="18"/>
        <v>-153.97200000000004</v>
      </c>
      <c r="I196" s="73">
        <f t="shared" si="19"/>
        <v>34.12914097164693</v>
      </c>
      <c r="J196" s="58"/>
      <c r="L196" s="29"/>
    </row>
    <row r="197" spans="1:12" ht="49.5" customHeight="1">
      <c r="A197" s="27"/>
      <c r="B197" s="75" t="s">
        <v>358</v>
      </c>
      <c r="C197" s="63" t="s">
        <v>454</v>
      </c>
      <c r="D197" s="76">
        <v>10</v>
      </c>
      <c r="E197" s="76"/>
      <c r="F197" s="76">
        <v>10</v>
      </c>
      <c r="G197" s="68"/>
      <c r="H197" s="68">
        <f t="shared" si="18"/>
        <v>0</v>
      </c>
      <c r="I197" s="73">
        <f t="shared" si="19"/>
        <v>100</v>
      </c>
      <c r="J197" s="58"/>
      <c r="L197" s="29"/>
    </row>
    <row r="198" spans="1:12" ht="20.25" customHeight="1">
      <c r="A198" s="27"/>
      <c r="B198" s="75" t="s">
        <v>375</v>
      </c>
      <c r="C198" s="63" t="s">
        <v>46</v>
      </c>
      <c r="D198" s="76">
        <v>9.98</v>
      </c>
      <c r="E198" s="76"/>
      <c r="F198" s="76">
        <v>9.98</v>
      </c>
      <c r="G198" s="68"/>
      <c r="H198" s="69">
        <f t="shared" si="18"/>
        <v>0</v>
      </c>
      <c r="I198" s="70">
        <f t="shared" si="19"/>
        <v>100</v>
      </c>
      <c r="J198" s="58"/>
      <c r="L198" s="29"/>
    </row>
    <row r="199" spans="1:12" ht="31.5">
      <c r="A199" s="27"/>
      <c r="B199" s="75" t="s">
        <v>376</v>
      </c>
      <c r="C199" s="63" t="s">
        <v>92</v>
      </c>
      <c r="D199" s="76">
        <v>7.04</v>
      </c>
      <c r="E199" s="76"/>
      <c r="F199" s="76">
        <v>7.04</v>
      </c>
      <c r="G199" s="68"/>
      <c r="H199" s="69">
        <f t="shared" si="18"/>
        <v>0</v>
      </c>
      <c r="I199" s="70">
        <f t="shared" si="19"/>
        <v>100</v>
      </c>
      <c r="J199" s="58"/>
      <c r="L199" s="29"/>
    </row>
    <row r="200" spans="1:12" ht="60" customHeight="1">
      <c r="A200" s="27"/>
      <c r="B200" s="66" t="s">
        <v>377</v>
      </c>
      <c r="C200" s="18" t="s">
        <v>286</v>
      </c>
      <c r="D200" s="67">
        <v>13.34</v>
      </c>
      <c r="E200" s="67"/>
      <c r="F200" s="67">
        <v>13.34</v>
      </c>
      <c r="G200" s="68"/>
      <c r="H200" s="69">
        <f t="shared" si="18"/>
        <v>0</v>
      </c>
      <c r="I200" s="70">
        <f t="shared" si="19"/>
        <v>100</v>
      </c>
      <c r="J200" s="58"/>
      <c r="L200" s="29"/>
    </row>
    <row r="201" spans="1:12" ht="60" customHeight="1">
      <c r="A201" s="27"/>
      <c r="B201" s="66" t="s">
        <v>434</v>
      </c>
      <c r="C201" s="18" t="s">
        <v>232</v>
      </c>
      <c r="D201" s="67">
        <v>198</v>
      </c>
      <c r="E201" s="67"/>
      <c r="F201" s="67">
        <v>0</v>
      </c>
      <c r="G201" s="68"/>
      <c r="H201" s="69">
        <f t="shared" si="18"/>
        <v>-198</v>
      </c>
      <c r="I201" s="70">
        <f t="shared" si="19"/>
        <v>0</v>
      </c>
      <c r="J201" s="58"/>
      <c r="L201" s="29"/>
    </row>
    <row r="202" spans="1:12" ht="31.5">
      <c r="A202" s="27"/>
      <c r="B202" s="66" t="s">
        <v>434</v>
      </c>
      <c r="C202" s="18" t="s">
        <v>108</v>
      </c>
      <c r="D202" s="67">
        <v>5.389</v>
      </c>
      <c r="E202" s="67"/>
      <c r="F202" s="67">
        <v>0</v>
      </c>
      <c r="G202" s="68"/>
      <c r="H202" s="69">
        <f t="shared" si="18"/>
        <v>-5.389</v>
      </c>
      <c r="I202" s="70">
        <f t="shared" si="19"/>
        <v>0</v>
      </c>
      <c r="J202" s="58"/>
      <c r="L202" s="29"/>
    </row>
    <row r="203" spans="1:12" ht="15.75">
      <c r="A203" s="27"/>
      <c r="B203" s="75" t="s">
        <v>83</v>
      </c>
      <c r="C203" s="74" t="s">
        <v>283</v>
      </c>
      <c r="D203" s="76">
        <f>D204+D206+D205</f>
        <v>433.77774</v>
      </c>
      <c r="E203" s="76">
        <f>E204+E206+E205</f>
        <v>0</v>
      </c>
      <c r="F203" s="76">
        <f>F204+F206+F205</f>
        <v>206.13756</v>
      </c>
      <c r="G203" s="68"/>
      <c r="H203" s="69">
        <f t="shared" si="18"/>
        <v>-227.64018</v>
      </c>
      <c r="I203" s="70">
        <f t="shared" si="19"/>
        <v>47.521470327177234</v>
      </c>
      <c r="J203" s="58"/>
      <c r="L203" s="29"/>
    </row>
    <row r="204" spans="1:12" ht="47.25">
      <c r="A204" s="27"/>
      <c r="B204" s="75" t="s">
        <v>365</v>
      </c>
      <c r="C204" s="74" t="s">
        <v>87</v>
      </c>
      <c r="D204" s="76">
        <v>286.82149</v>
      </c>
      <c r="E204" s="76"/>
      <c r="F204" s="76">
        <v>63.32149</v>
      </c>
      <c r="G204" s="68"/>
      <c r="H204" s="69">
        <f t="shared" si="18"/>
        <v>-223.5</v>
      </c>
      <c r="I204" s="70">
        <f t="shared" si="19"/>
        <v>22.076968500512287</v>
      </c>
      <c r="J204" s="58"/>
      <c r="L204" s="29"/>
    </row>
    <row r="205" spans="1:12" ht="61.5" customHeight="1">
      <c r="A205" s="27"/>
      <c r="B205" s="75" t="s">
        <v>312</v>
      </c>
      <c r="C205" s="18" t="s">
        <v>66</v>
      </c>
      <c r="D205" s="76">
        <v>10.7174</v>
      </c>
      <c r="E205" s="76"/>
      <c r="F205" s="76">
        <v>6.57722</v>
      </c>
      <c r="G205" s="68"/>
      <c r="H205" s="68">
        <f t="shared" si="18"/>
        <v>-4.14018</v>
      </c>
      <c r="I205" s="73">
        <f t="shared" si="19"/>
        <v>61.36954858454475</v>
      </c>
      <c r="J205" s="58"/>
      <c r="L205" s="29"/>
    </row>
    <row r="206" spans="1:12" ht="78.75">
      <c r="A206" s="27"/>
      <c r="B206" s="75" t="s">
        <v>312</v>
      </c>
      <c r="C206" s="63" t="s">
        <v>82</v>
      </c>
      <c r="D206" s="76">
        <v>136.23885</v>
      </c>
      <c r="E206" s="76"/>
      <c r="F206" s="76">
        <v>136.23885</v>
      </c>
      <c r="G206" s="68"/>
      <c r="H206" s="68">
        <f t="shared" si="18"/>
        <v>0</v>
      </c>
      <c r="I206" s="73">
        <f t="shared" si="19"/>
        <v>100</v>
      </c>
      <c r="J206" s="58"/>
      <c r="L206" s="29"/>
    </row>
    <row r="207" spans="1:12" ht="15.75">
      <c r="A207" s="27"/>
      <c r="B207" s="64" t="s">
        <v>317</v>
      </c>
      <c r="C207" s="74" t="s">
        <v>287</v>
      </c>
      <c r="D207" s="71">
        <f>D208+D209+D210+D212+D213+D214+D215+D216+D217+D218+D220+D221+D211+D219</f>
        <v>6450.40417</v>
      </c>
      <c r="E207" s="71">
        <f>E208+E209+E210+E212+E213+E214+E215+E216+E217+E218+E220+E221+E211+E219</f>
        <v>0</v>
      </c>
      <c r="F207" s="71">
        <f>F208+F209+F210+F212+F213+F214+F215+F216+F217+F218+F220+F221+F211+F219</f>
        <v>4530.92691</v>
      </c>
      <c r="G207" s="71">
        <f>G208+G209+G210+G212+G213+G214+G215+G216+G217+G218+G220+G221+G211</f>
        <v>0</v>
      </c>
      <c r="H207" s="68">
        <f t="shared" si="18"/>
        <v>-1919.4772599999997</v>
      </c>
      <c r="I207" s="73">
        <f t="shared" si="19"/>
        <v>70.24252729887466</v>
      </c>
      <c r="J207" s="58"/>
      <c r="L207" s="29"/>
    </row>
    <row r="208" spans="1:12" ht="63">
      <c r="A208" s="27"/>
      <c r="B208" s="48" t="s">
        <v>319</v>
      </c>
      <c r="C208" s="7" t="s">
        <v>50</v>
      </c>
      <c r="D208" s="61">
        <v>2116.775</v>
      </c>
      <c r="E208" s="13"/>
      <c r="F208" s="4">
        <v>1988.21619</v>
      </c>
      <c r="G208" s="5"/>
      <c r="H208" s="69">
        <f t="shared" si="18"/>
        <v>-128.55881</v>
      </c>
      <c r="I208" s="70">
        <f t="shared" si="19"/>
        <v>93.92666627298603</v>
      </c>
      <c r="J208" s="58"/>
      <c r="L208" s="29"/>
    </row>
    <row r="209" spans="1:12" ht="69" customHeight="1">
      <c r="A209" s="27"/>
      <c r="B209" s="64" t="s">
        <v>319</v>
      </c>
      <c r="C209" s="7" t="s">
        <v>49</v>
      </c>
      <c r="D209" s="71">
        <v>12.57387</v>
      </c>
      <c r="E209" s="13"/>
      <c r="F209" s="5">
        <v>12.57387</v>
      </c>
      <c r="G209" s="5"/>
      <c r="H209" s="68">
        <f t="shared" si="18"/>
        <v>0</v>
      </c>
      <c r="I209" s="73">
        <f t="shared" si="19"/>
        <v>100</v>
      </c>
      <c r="J209" s="58"/>
      <c r="L209" s="29"/>
    </row>
    <row r="210" spans="1:12" ht="78.75">
      <c r="A210" s="27"/>
      <c r="B210" s="64" t="s">
        <v>319</v>
      </c>
      <c r="C210" s="63" t="s">
        <v>82</v>
      </c>
      <c r="D210" s="71">
        <v>467.65572</v>
      </c>
      <c r="E210" s="13"/>
      <c r="F210" s="5">
        <v>467.65572</v>
      </c>
      <c r="G210" s="5"/>
      <c r="H210" s="68">
        <f t="shared" si="18"/>
        <v>0</v>
      </c>
      <c r="I210" s="73">
        <f t="shared" si="19"/>
        <v>100</v>
      </c>
      <c r="J210" s="58"/>
      <c r="L210" s="29"/>
    </row>
    <row r="211" spans="1:12" ht="47.25">
      <c r="A211" s="27"/>
      <c r="B211" s="64" t="s">
        <v>319</v>
      </c>
      <c r="C211" s="63" t="s">
        <v>233</v>
      </c>
      <c r="D211" s="71">
        <v>97</v>
      </c>
      <c r="E211" s="13"/>
      <c r="F211" s="5">
        <v>0</v>
      </c>
      <c r="G211" s="5"/>
      <c r="H211" s="68">
        <f t="shared" si="18"/>
        <v>-97</v>
      </c>
      <c r="I211" s="73">
        <f t="shared" si="19"/>
        <v>0</v>
      </c>
      <c r="J211" s="58"/>
      <c r="L211" s="29"/>
    </row>
    <row r="212" spans="1:12" ht="47.25">
      <c r="A212" s="27"/>
      <c r="B212" s="64" t="s">
        <v>40</v>
      </c>
      <c r="C212" s="55" t="s">
        <v>75</v>
      </c>
      <c r="D212" s="71">
        <v>420.69884</v>
      </c>
      <c r="E212" s="13"/>
      <c r="F212" s="5">
        <v>106.9952</v>
      </c>
      <c r="G212" s="5"/>
      <c r="H212" s="68">
        <f t="shared" si="18"/>
        <v>-313.70364</v>
      </c>
      <c r="I212" s="73">
        <f t="shared" si="19"/>
        <v>25.43272997852811</v>
      </c>
      <c r="J212" s="58"/>
      <c r="L212" s="29"/>
    </row>
    <row r="213" spans="1:12" ht="47.25">
      <c r="A213" s="27"/>
      <c r="B213" s="64" t="s">
        <v>40</v>
      </c>
      <c r="C213" s="55" t="s">
        <v>91</v>
      </c>
      <c r="D213" s="71">
        <v>194.9</v>
      </c>
      <c r="E213" s="13"/>
      <c r="F213" s="5">
        <v>285.31918</v>
      </c>
      <c r="G213" s="5"/>
      <c r="H213" s="68">
        <f t="shared" si="18"/>
        <v>90.41918000000001</v>
      </c>
      <c r="I213" s="73">
        <f t="shared" si="19"/>
        <v>146.39260133401746</v>
      </c>
      <c r="J213" s="58"/>
      <c r="L213" s="29"/>
    </row>
    <row r="214" spans="1:12" ht="78.75">
      <c r="A214" s="27"/>
      <c r="B214" s="64" t="s">
        <v>40</v>
      </c>
      <c r="C214" s="63" t="s">
        <v>82</v>
      </c>
      <c r="D214" s="71">
        <v>424.19606</v>
      </c>
      <c r="E214" s="13"/>
      <c r="F214" s="5">
        <v>424.19606</v>
      </c>
      <c r="G214" s="5"/>
      <c r="H214" s="68">
        <f t="shared" si="18"/>
        <v>0</v>
      </c>
      <c r="I214" s="73">
        <f t="shared" si="19"/>
        <v>100</v>
      </c>
      <c r="J214" s="58"/>
      <c r="L214" s="29"/>
    </row>
    <row r="215" spans="1:12" ht="70.5" customHeight="1">
      <c r="A215" s="27"/>
      <c r="B215" s="48" t="s">
        <v>15</v>
      </c>
      <c r="C215" s="55" t="s">
        <v>51</v>
      </c>
      <c r="D215" s="12">
        <v>869.86</v>
      </c>
      <c r="E215" s="13"/>
      <c r="F215" s="4">
        <v>365.3524</v>
      </c>
      <c r="G215" s="5"/>
      <c r="H215" s="69">
        <f t="shared" si="18"/>
        <v>-504.5076</v>
      </c>
      <c r="I215" s="70">
        <f t="shared" si="19"/>
        <v>42.001287563515966</v>
      </c>
      <c r="J215" s="58"/>
      <c r="L215" s="29"/>
    </row>
    <row r="216" spans="1:12" ht="47.25" customHeight="1" hidden="1">
      <c r="A216" s="27"/>
      <c r="B216" s="48" t="s">
        <v>15</v>
      </c>
      <c r="C216" s="55" t="s">
        <v>88</v>
      </c>
      <c r="D216" s="12">
        <v>0</v>
      </c>
      <c r="E216" s="13"/>
      <c r="F216" s="4"/>
      <c r="G216" s="5"/>
      <c r="H216" s="69">
        <f t="shared" si="18"/>
        <v>0</v>
      </c>
      <c r="I216" s="70" t="e">
        <f t="shared" si="19"/>
        <v>#DIV/0!</v>
      </c>
      <c r="J216" s="58"/>
      <c r="L216" s="29"/>
    </row>
    <row r="217" spans="1:12" ht="47.25">
      <c r="A217" s="27"/>
      <c r="B217" s="48" t="s">
        <v>321</v>
      </c>
      <c r="C217" s="7" t="s">
        <v>52</v>
      </c>
      <c r="D217" s="12">
        <v>270.915</v>
      </c>
      <c r="E217" s="13"/>
      <c r="F217" s="4">
        <v>95.73918</v>
      </c>
      <c r="G217" s="5"/>
      <c r="H217" s="69">
        <f t="shared" si="18"/>
        <v>-175.17582000000002</v>
      </c>
      <c r="I217" s="70">
        <f t="shared" si="19"/>
        <v>35.339194950445716</v>
      </c>
      <c r="J217" s="58"/>
      <c r="L217" s="29"/>
    </row>
    <row r="218" spans="1:12" ht="78.75">
      <c r="A218" s="27"/>
      <c r="B218" s="64" t="s">
        <v>321</v>
      </c>
      <c r="C218" s="63" t="s">
        <v>82</v>
      </c>
      <c r="D218" s="71">
        <f>129.00614+197.81</f>
        <v>326.81614</v>
      </c>
      <c r="E218" s="13"/>
      <c r="F218" s="5">
        <v>283.2156</v>
      </c>
      <c r="G218" s="5"/>
      <c r="H218" s="68">
        <f t="shared" si="18"/>
        <v>-43.600540000000024</v>
      </c>
      <c r="I218" s="73">
        <f t="shared" si="19"/>
        <v>86.65900037862266</v>
      </c>
      <c r="J218" s="58"/>
      <c r="L218" s="29"/>
    </row>
    <row r="219" spans="1:12" ht="47.25">
      <c r="A219" s="27"/>
      <c r="B219" s="64" t="s">
        <v>321</v>
      </c>
      <c r="C219" s="63" t="s">
        <v>136</v>
      </c>
      <c r="D219" s="71">
        <v>247.35</v>
      </c>
      <c r="E219" s="13"/>
      <c r="F219" s="5">
        <v>0</v>
      </c>
      <c r="G219" s="5"/>
      <c r="H219" s="68">
        <f t="shared" si="18"/>
        <v>-247.35</v>
      </c>
      <c r="I219" s="73">
        <f t="shared" si="19"/>
        <v>0</v>
      </c>
      <c r="J219" s="58"/>
      <c r="L219" s="29"/>
    </row>
    <row r="220" spans="1:12" ht="78.75">
      <c r="A220" s="27"/>
      <c r="B220" s="64" t="s">
        <v>23</v>
      </c>
      <c r="C220" s="55" t="s">
        <v>84</v>
      </c>
      <c r="D220" s="71">
        <v>50.56254</v>
      </c>
      <c r="E220" s="13"/>
      <c r="F220" s="5">
        <v>50.56254</v>
      </c>
      <c r="G220" s="5"/>
      <c r="H220" s="68">
        <f aca="true" t="shared" si="20" ref="H220:H251">F220-D220</f>
        <v>0</v>
      </c>
      <c r="I220" s="73">
        <f aca="true" t="shared" si="21" ref="I220:I251">F220/D220*100</f>
        <v>100</v>
      </c>
      <c r="J220" s="58"/>
      <c r="L220" s="29"/>
    </row>
    <row r="221" spans="1:12" ht="63">
      <c r="A221" s="27"/>
      <c r="B221" s="64" t="s">
        <v>93</v>
      </c>
      <c r="C221" s="55" t="s">
        <v>94</v>
      </c>
      <c r="D221" s="71">
        <v>951.101</v>
      </c>
      <c r="E221" s="13"/>
      <c r="F221" s="5">
        <v>451.10097</v>
      </c>
      <c r="G221" s="5"/>
      <c r="H221" s="68">
        <f t="shared" si="20"/>
        <v>-500.00003</v>
      </c>
      <c r="I221" s="73">
        <f t="shared" si="21"/>
        <v>47.42934451756438</v>
      </c>
      <c r="J221" s="58"/>
      <c r="L221" s="29"/>
    </row>
    <row r="222" spans="1:12" ht="31.5" customHeight="1">
      <c r="A222" s="22" t="s">
        <v>328</v>
      </c>
      <c r="B222" s="72" t="s">
        <v>335</v>
      </c>
      <c r="C222" s="63" t="s">
        <v>242</v>
      </c>
      <c r="D222" s="71">
        <f>D223+D224+D227+D226+D225</f>
        <v>322.815</v>
      </c>
      <c r="E222" s="71">
        <f>E223+E224+E227+E226+E225</f>
        <v>0</v>
      </c>
      <c r="F222" s="71">
        <f>F223+F224+F227+F226+F225</f>
        <v>115.569</v>
      </c>
      <c r="G222" s="5" t="e">
        <f>F222-#REF!</f>
        <v>#REF!</v>
      </c>
      <c r="H222" s="68">
        <f t="shared" si="20"/>
        <v>-207.24599999999998</v>
      </c>
      <c r="I222" s="73">
        <f t="shared" si="21"/>
        <v>35.80038102318666</v>
      </c>
      <c r="J222" s="58"/>
      <c r="L222" s="29"/>
    </row>
    <row r="223" spans="1:12" ht="20.25" customHeight="1">
      <c r="A223" s="17" t="s">
        <v>343</v>
      </c>
      <c r="B223" s="48" t="s">
        <v>444</v>
      </c>
      <c r="C223" s="24" t="s">
        <v>243</v>
      </c>
      <c r="D223" s="12">
        <v>44.7</v>
      </c>
      <c r="E223" s="13"/>
      <c r="F223" s="4">
        <v>14.7</v>
      </c>
      <c r="G223" s="5"/>
      <c r="H223" s="69">
        <f t="shared" si="20"/>
        <v>-30.000000000000004</v>
      </c>
      <c r="I223" s="70">
        <f t="shared" si="21"/>
        <v>32.88590604026845</v>
      </c>
      <c r="J223" s="58"/>
      <c r="L223" s="29"/>
    </row>
    <row r="224" spans="1:12" ht="17.25" customHeight="1">
      <c r="A224" s="17" t="s">
        <v>359</v>
      </c>
      <c r="B224" s="48" t="s">
        <v>445</v>
      </c>
      <c r="C224" s="24" t="s">
        <v>244</v>
      </c>
      <c r="D224" s="12">
        <v>11.369</v>
      </c>
      <c r="E224" s="13"/>
      <c r="F224" s="4">
        <v>6.369</v>
      </c>
      <c r="G224" s="5"/>
      <c r="H224" s="69">
        <f t="shared" si="20"/>
        <v>-5</v>
      </c>
      <c r="I224" s="70">
        <f t="shared" si="21"/>
        <v>56.0207582021286</v>
      </c>
      <c r="J224" s="58"/>
      <c r="L224" s="29"/>
    </row>
    <row r="225" spans="1:12" ht="36" customHeight="1">
      <c r="A225" s="17"/>
      <c r="B225" s="48" t="s">
        <v>446</v>
      </c>
      <c r="C225" s="24" t="s">
        <v>205</v>
      </c>
      <c r="D225" s="12">
        <v>215.1</v>
      </c>
      <c r="E225" s="13"/>
      <c r="F225" s="4">
        <v>85.854</v>
      </c>
      <c r="G225" s="5"/>
      <c r="H225" s="69">
        <f t="shared" si="20"/>
        <v>-129.24599999999998</v>
      </c>
      <c r="I225" s="70">
        <f t="shared" si="21"/>
        <v>39.91352859135286</v>
      </c>
      <c r="J225" s="58"/>
      <c r="L225" s="29"/>
    </row>
    <row r="226" spans="1:12" ht="56.25" customHeight="1">
      <c r="A226" s="17"/>
      <c r="B226" s="48" t="s">
        <v>424</v>
      </c>
      <c r="C226" s="24" t="s">
        <v>245</v>
      </c>
      <c r="D226" s="12">
        <v>5</v>
      </c>
      <c r="E226" s="13"/>
      <c r="F226" s="4">
        <v>5</v>
      </c>
      <c r="G226" s="5"/>
      <c r="H226" s="69">
        <f t="shared" si="20"/>
        <v>0</v>
      </c>
      <c r="I226" s="70">
        <f t="shared" si="21"/>
        <v>100</v>
      </c>
      <c r="J226" s="58"/>
      <c r="L226" s="29"/>
    </row>
    <row r="227" spans="1:12" ht="31.5" customHeight="1">
      <c r="A227" s="17" t="s">
        <v>359</v>
      </c>
      <c r="B227" s="48" t="s">
        <v>424</v>
      </c>
      <c r="C227" s="24" t="s">
        <v>246</v>
      </c>
      <c r="D227" s="12">
        <v>46.646</v>
      </c>
      <c r="E227" s="13"/>
      <c r="F227" s="4">
        <v>3.646</v>
      </c>
      <c r="G227" s="5"/>
      <c r="H227" s="69">
        <f t="shared" si="20"/>
        <v>-43</v>
      </c>
      <c r="I227" s="70">
        <f t="shared" si="21"/>
        <v>7.816318655404536</v>
      </c>
      <c r="J227" s="58"/>
      <c r="L227" s="29"/>
    </row>
    <row r="228" spans="1:12" ht="15.75">
      <c r="A228" s="17"/>
      <c r="B228" s="64" t="s">
        <v>324</v>
      </c>
      <c r="C228" s="55" t="s">
        <v>247</v>
      </c>
      <c r="D228" s="71">
        <f>D229+D230</f>
        <v>98.343</v>
      </c>
      <c r="E228" s="71">
        <f>E229+E230</f>
        <v>0</v>
      </c>
      <c r="F228" s="71">
        <f>F229+F230</f>
        <v>88.86932</v>
      </c>
      <c r="G228" s="71">
        <f>G229+G230</f>
        <v>0</v>
      </c>
      <c r="H228" s="68">
        <f t="shared" si="20"/>
        <v>-9.473680000000002</v>
      </c>
      <c r="I228" s="73">
        <f t="shared" si="21"/>
        <v>90.3666961552932</v>
      </c>
      <c r="J228" s="58"/>
      <c r="L228" s="29"/>
    </row>
    <row r="229" spans="1:12" ht="47.25">
      <c r="A229" s="17"/>
      <c r="B229" s="64" t="s">
        <v>325</v>
      </c>
      <c r="C229" s="87" t="s">
        <v>248</v>
      </c>
      <c r="D229" s="71">
        <v>5.625</v>
      </c>
      <c r="E229" s="13"/>
      <c r="F229" s="5">
        <v>0</v>
      </c>
      <c r="G229" s="5"/>
      <c r="H229" s="68">
        <f t="shared" si="20"/>
        <v>-5.625</v>
      </c>
      <c r="I229" s="73">
        <f t="shared" si="21"/>
        <v>0</v>
      </c>
      <c r="J229" s="58"/>
      <c r="L229" s="29"/>
    </row>
    <row r="230" spans="1:12" ht="81.75" customHeight="1">
      <c r="A230" s="17"/>
      <c r="B230" s="64" t="s">
        <v>325</v>
      </c>
      <c r="C230" s="63" t="s">
        <v>82</v>
      </c>
      <c r="D230" s="71">
        <v>92.718</v>
      </c>
      <c r="E230" s="13"/>
      <c r="F230" s="5">
        <v>88.86932</v>
      </c>
      <c r="G230" s="5"/>
      <c r="H230" s="68">
        <f t="shared" si="20"/>
        <v>-3.8486800000000017</v>
      </c>
      <c r="I230" s="73">
        <f t="shared" si="21"/>
        <v>95.84904764986302</v>
      </c>
      <c r="J230" s="58"/>
      <c r="L230" s="29"/>
    </row>
    <row r="231" spans="1:12" ht="15.75">
      <c r="A231" s="17"/>
      <c r="B231" s="64" t="s">
        <v>180</v>
      </c>
      <c r="C231" s="55" t="s">
        <v>249</v>
      </c>
      <c r="D231" s="6">
        <f>D232+D233+D236+D234+D235</f>
        <v>5602.9938600000005</v>
      </c>
      <c r="E231" s="6">
        <f>E232+E233+E236+E234+E235</f>
        <v>0</v>
      </c>
      <c r="F231" s="6">
        <f>F232+F233+F236+F234+F235</f>
        <v>2251.5542800000003</v>
      </c>
      <c r="G231" s="5">
        <f>F231-L223</f>
        <v>2251.5542800000003</v>
      </c>
      <c r="H231" s="68">
        <f t="shared" si="20"/>
        <v>-3351.43958</v>
      </c>
      <c r="I231" s="73">
        <f t="shared" si="21"/>
        <v>40.18484289397383</v>
      </c>
      <c r="J231" s="58"/>
      <c r="L231" s="29"/>
    </row>
    <row r="232" spans="1:12" ht="57.75" customHeight="1">
      <c r="A232" s="17"/>
      <c r="B232" s="64" t="s">
        <v>421</v>
      </c>
      <c r="C232" s="55" t="s">
        <v>53</v>
      </c>
      <c r="D232" s="6">
        <v>1094.34386</v>
      </c>
      <c r="E232" s="6"/>
      <c r="F232" s="5">
        <f>550.38315+148.214</f>
        <v>698.59715</v>
      </c>
      <c r="G232" s="5"/>
      <c r="H232" s="68">
        <f t="shared" si="20"/>
        <v>-395.7467099999999</v>
      </c>
      <c r="I232" s="73">
        <f t="shared" si="21"/>
        <v>63.83707859429121</v>
      </c>
      <c r="J232" s="58"/>
      <c r="L232" s="29"/>
    </row>
    <row r="233" spans="1:12" ht="53.25" customHeight="1">
      <c r="A233" s="17"/>
      <c r="B233" s="64" t="s">
        <v>421</v>
      </c>
      <c r="C233" s="55" t="s">
        <v>54</v>
      </c>
      <c r="D233" s="6">
        <v>444.35</v>
      </c>
      <c r="E233" s="6"/>
      <c r="F233" s="5">
        <f>319.669+124.24813</f>
        <v>443.91713</v>
      </c>
      <c r="G233" s="5"/>
      <c r="H233" s="68">
        <f t="shared" si="20"/>
        <v>-0.4328700000000367</v>
      </c>
      <c r="I233" s="73">
        <f t="shared" si="21"/>
        <v>99.90258354900415</v>
      </c>
      <c r="J233" s="58"/>
      <c r="L233" s="29"/>
    </row>
    <row r="234" spans="1:12" ht="84.75" customHeight="1">
      <c r="A234" s="17"/>
      <c r="B234" s="64" t="s">
        <v>421</v>
      </c>
      <c r="C234" s="63" t="s">
        <v>82</v>
      </c>
      <c r="D234" s="6">
        <v>4000.3</v>
      </c>
      <c r="E234" s="6"/>
      <c r="F234" s="5">
        <v>1109.04</v>
      </c>
      <c r="G234" s="5"/>
      <c r="H234" s="68">
        <f t="shared" si="20"/>
        <v>-2891.26</v>
      </c>
      <c r="I234" s="73">
        <f t="shared" si="21"/>
        <v>27.72392070594705</v>
      </c>
      <c r="J234" s="58"/>
      <c r="L234" s="29"/>
    </row>
    <row r="235" spans="1:12" ht="47.25">
      <c r="A235" s="17"/>
      <c r="B235" s="64" t="s">
        <v>421</v>
      </c>
      <c r="C235" s="63" t="s">
        <v>136</v>
      </c>
      <c r="D235" s="6">
        <v>64</v>
      </c>
      <c r="E235" s="6"/>
      <c r="F235" s="5">
        <v>0</v>
      </c>
      <c r="G235" s="5"/>
      <c r="H235" s="68">
        <f t="shared" si="20"/>
        <v>-64</v>
      </c>
      <c r="I235" s="73">
        <f t="shared" si="21"/>
        <v>0</v>
      </c>
      <c r="J235" s="58"/>
      <c r="L235" s="29"/>
    </row>
    <row r="236" spans="1:12" ht="60" customHeight="1" hidden="1">
      <c r="A236" s="17"/>
      <c r="B236" s="64" t="s">
        <v>206</v>
      </c>
      <c r="C236" s="55" t="s">
        <v>53</v>
      </c>
      <c r="D236" s="6">
        <v>0</v>
      </c>
      <c r="E236" s="6"/>
      <c r="F236" s="5">
        <v>0</v>
      </c>
      <c r="G236" s="5"/>
      <c r="H236" s="68">
        <f t="shared" si="20"/>
        <v>0</v>
      </c>
      <c r="I236" s="73" t="e">
        <f t="shared" si="21"/>
        <v>#DIV/0!</v>
      </c>
      <c r="J236" s="58"/>
      <c r="L236" s="29"/>
    </row>
    <row r="237" spans="1:12" ht="47.25">
      <c r="A237" s="17"/>
      <c r="B237" s="64" t="s">
        <v>334</v>
      </c>
      <c r="C237" s="55" t="s">
        <v>55</v>
      </c>
      <c r="D237" s="6">
        <f>D238+D239+D240</f>
        <v>2607.8357</v>
      </c>
      <c r="E237" s="6">
        <f>E238+E239+E240</f>
        <v>106</v>
      </c>
      <c r="F237" s="6">
        <f>F238+F239+F240</f>
        <v>1163.75502</v>
      </c>
      <c r="G237" s="5"/>
      <c r="H237" s="68">
        <f t="shared" si="20"/>
        <v>-1444.08068</v>
      </c>
      <c r="I237" s="73">
        <f t="shared" si="21"/>
        <v>44.62531976228411</v>
      </c>
      <c r="J237" s="58"/>
      <c r="L237" s="29"/>
    </row>
    <row r="238" spans="1:12" ht="54.75" customHeight="1">
      <c r="A238" s="17"/>
      <c r="B238" s="64" t="s">
        <v>334</v>
      </c>
      <c r="C238" s="55" t="s">
        <v>405</v>
      </c>
      <c r="D238" s="6">
        <v>1676.428</v>
      </c>
      <c r="E238" s="6"/>
      <c r="F238" s="5">
        <v>667.38212</v>
      </c>
      <c r="G238" s="5"/>
      <c r="H238" s="68">
        <f t="shared" si="20"/>
        <v>-1009.0458800000001</v>
      </c>
      <c r="I238" s="73">
        <f t="shared" si="21"/>
        <v>39.809769342912425</v>
      </c>
      <c r="J238" s="58"/>
      <c r="L238" s="29"/>
    </row>
    <row r="239" spans="1:12" ht="47.25">
      <c r="A239" s="17"/>
      <c r="B239" s="64" t="s">
        <v>334</v>
      </c>
      <c r="C239" s="55" t="s">
        <v>406</v>
      </c>
      <c r="D239" s="6">
        <v>693.454</v>
      </c>
      <c r="E239" s="6"/>
      <c r="F239" s="5">
        <v>289.85087</v>
      </c>
      <c r="G239" s="5"/>
      <c r="H239" s="68">
        <f t="shared" si="20"/>
        <v>-403.60312999999996</v>
      </c>
      <c r="I239" s="73">
        <f t="shared" si="21"/>
        <v>41.79813945842118</v>
      </c>
      <c r="J239" s="58"/>
      <c r="L239" s="29"/>
    </row>
    <row r="240" spans="1:12" ht="71.25" customHeight="1">
      <c r="A240" s="17"/>
      <c r="B240" s="64" t="s">
        <v>334</v>
      </c>
      <c r="C240" s="55" t="s">
        <v>36</v>
      </c>
      <c r="D240" s="6">
        <v>237.9537</v>
      </c>
      <c r="E240" s="6">
        <v>106</v>
      </c>
      <c r="F240" s="5">
        <v>206.52203</v>
      </c>
      <c r="G240" s="5" t="e">
        <f>F240-#REF!</f>
        <v>#REF!</v>
      </c>
      <c r="H240" s="68">
        <f t="shared" si="20"/>
        <v>-31.431669999999997</v>
      </c>
      <c r="I240" s="73">
        <f t="shared" si="21"/>
        <v>86.79084628648347</v>
      </c>
      <c r="J240" s="58"/>
      <c r="L240" s="29"/>
    </row>
    <row r="241" spans="1:12" ht="31.5">
      <c r="A241" s="17"/>
      <c r="B241" s="64" t="s">
        <v>43</v>
      </c>
      <c r="C241" s="63" t="s">
        <v>197</v>
      </c>
      <c r="D241" s="6">
        <f>D242+D243+D244</f>
        <v>569.23947</v>
      </c>
      <c r="E241" s="6">
        <f>E242+E243+E244</f>
        <v>0</v>
      </c>
      <c r="F241" s="6">
        <f>F242+F243+F244</f>
        <v>498.24347</v>
      </c>
      <c r="G241" s="5"/>
      <c r="H241" s="68">
        <f t="shared" si="20"/>
        <v>-70.99599999999998</v>
      </c>
      <c r="I241" s="73">
        <f t="shared" si="21"/>
        <v>87.52792036715233</v>
      </c>
      <c r="J241" s="58"/>
      <c r="L241" s="29"/>
    </row>
    <row r="242" spans="1:12" ht="88.5" customHeight="1">
      <c r="A242" s="17"/>
      <c r="B242" s="48" t="s">
        <v>435</v>
      </c>
      <c r="C242" s="7" t="s">
        <v>67</v>
      </c>
      <c r="D242" s="1">
        <v>199.07</v>
      </c>
      <c r="E242" s="6"/>
      <c r="F242" s="4">
        <v>129.47</v>
      </c>
      <c r="G242" s="5"/>
      <c r="H242" s="69">
        <f t="shared" si="20"/>
        <v>-69.6</v>
      </c>
      <c r="I242" s="70">
        <f t="shared" si="21"/>
        <v>65.0374240217009</v>
      </c>
      <c r="J242" s="58"/>
      <c r="L242" s="29"/>
    </row>
    <row r="243" spans="1:12" ht="47.25" hidden="1">
      <c r="A243" s="17"/>
      <c r="B243" s="48" t="s">
        <v>435</v>
      </c>
      <c r="C243" s="63" t="s">
        <v>69</v>
      </c>
      <c r="D243" s="1">
        <v>0</v>
      </c>
      <c r="E243" s="6"/>
      <c r="F243" s="4"/>
      <c r="G243" s="5"/>
      <c r="H243" s="69">
        <f t="shared" si="20"/>
        <v>0</v>
      </c>
      <c r="I243" s="70" t="e">
        <f t="shared" si="21"/>
        <v>#DIV/0!</v>
      </c>
      <c r="J243" s="58"/>
      <c r="L243" s="29"/>
    </row>
    <row r="244" spans="1:12" ht="47.25">
      <c r="A244" s="17"/>
      <c r="B244" s="48" t="s">
        <v>435</v>
      </c>
      <c r="C244" s="65" t="s">
        <v>73</v>
      </c>
      <c r="D244" s="1">
        <v>370.16947</v>
      </c>
      <c r="E244" s="6"/>
      <c r="F244" s="4">
        <v>368.77347</v>
      </c>
      <c r="G244" s="5"/>
      <c r="H244" s="69">
        <f t="shared" si="20"/>
        <v>-1.396000000000015</v>
      </c>
      <c r="I244" s="70">
        <f t="shared" si="21"/>
        <v>99.62287543594559</v>
      </c>
      <c r="J244" s="58"/>
      <c r="L244" s="29"/>
    </row>
    <row r="245" spans="1:12" ht="31.5">
      <c r="A245" s="17"/>
      <c r="B245" s="72" t="s">
        <v>465</v>
      </c>
      <c r="C245" s="55" t="s">
        <v>250</v>
      </c>
      <c r="D245" s="6">
        <f>D246+D247</f>
        <v>10.8</v>
      </c>
      <c r="E245" s="6">
        <f>E246+E247</f>
        <v>0</v>
      </c>
      <c r="F245" s="6">
        <f>F246+F247</f>
        <v>0</v>
      </c>
      <c r="G245" s="5"/>
      <c r="H245" s="68">
        <f t="shared" si="20"/>
        <v>-10.8</v>
      </c>
      <c r="I245" s="73">
        <f t="shared" si="21"/>
        <v>0</v>
      </c>
      <c r="J245" s="58"/>
      <c r="L245" s="29"/>
    </row>
    <row r="246" spans="1:12" ht="69" customHeight="1">
      <c r="A246" s="17"/>
      <c r="B246" s="72" t="s">
        <v>347</v>
      </c>
      <c r="C246" s="55" t="s">
        <v>252</v>
      </c>
      <c r="D246" s="6">
        <v>8</v>
      </c>
      <c r="E246" s="6"/>
      <c r="F246" s="6">
        <v>0</v>
      </c>
      <c r="G246" s="5"/>
      <c r="H246" s="68">
        <f t="shared" si="20"/>
        <v>-8</v>
      </c>
      <c r="I246" s="73">
        <f t="shared" si="21"/>
        <v>0</v>
      </c>
      <c r="J246" s="58"/>
      <c r="L246" s="29"/>
    </row>
    <row r="247" spans="1:12" ht="31.5">
      <c r="A247" s="17"/>
      <c r="B247" s="72" t="s">
        <v>339</v>
      </c>
      <c r="C247" s="55" t="s">
        <v>189</v>
      </c>
      <c r="D247" s="6">
        <v>2.8</v>
      </c>
      <c r="E247" s="6"/>
      <c r="F247" s="6">
        <v>0</v>
      </c>
      <c r="G247" s="5"/>
      <c r="H247" s="68">
        <f t="shared" si="20"/>
        <v>-2.8</v>
      </c>
      <c r="I247" s="73">
        <f t="shared" si="21"/>
        <v>0</v>
      </c>
      <c r="J247" s="58"/>
      <c r="L247" s="29"/>
    </row>
    <row r="248" spans="1:12" ht="31.5">
      <c r="A248" s="17"/>
      <c r="B248" s="72" t="s">
        <v>71</v>
      </c>
      <c r="C248" s="55" t="s">
        <v>253</v>
      </c>
      <c r="D248" s="6">
        <f>D249+D250</f>
        <v>254.98187</v>
      </c>
      <c r="E248" s="6">
        <f>E249+E250</f>
        <v>10</v>
      </c>
      <c r="F248" s="6">
        <f>F249+F250</f>
        <v>254.84067</v>
      </c>
      <c r="G248" s="5"/>
      <c r="H248" s="68">
        <f t="shared" si="20"/>
        <v>-0.14119999999999777</v>
      </c>
      <c r="I248" s="73">
        <f t="shared" si="21"/>
        <v>99.9446235138208</v>
      </c>
      <c r="J248" s="58"/>
      <c r="L248" s="29"/>
    </row>
    <row r="249" spans="1:12" ht="69.75" customHeight="1">
      <c r="A249" s="17"/>
      <c r="B249" s="49" t="s">
        <v>438</v>
      </c>
      <c r="C249" s="7" t="s">
        <v>37</v>
      </c>
      <c r="D249" s="1">
        <v>254.98187</v>
      </c>
      <c r="E249" s="6">
        <v>10</v>
      </c>
      <c r="F249" s="1">
        <v>254.84067</v>
      </c>
      <c r="G249" s="5" t="e">
        <f>F249-#REF!</f>
        <v>#REF!</v>
      </c>
      <c r="H249" s="69">
        <f t="shared" si="20"/>
        <v>-0.14119999999999777</v>
      </c>
      <c r="I249" s="70">
        <f t="shared" si="21"/>
        <v>99.9446235138208</v>
      </c>
      <c r="J249" s="58"/>
      <c r="L249" s="29"/>
    </row>
    <row r="250" spans="1:12" ht="63" hidden="1">
      <c r="A250" s="17"/>
      <c r="B250" s="49" t="s">
        <v>70</v>
      </c>
      <c r="C250" s="7" t="s">
        <v>37</v>
      </c>
      <c r="D250" s="1">
        <v>0</v>
      </c>
      <c r="E250" s="6"/>
      <c r="F250" s="1"/>
      <c r="G250" s="5"/>
      <c r="H250" s="69">
        <f t="shared" si="20"/>
        <v>0</v>
      </c>
      <c r="I250" s="70" t="e">
        <f t="shared" si="21"/>
        <v>#DIV/0!</v>
      </c>
      <c r="J250" s="58"/>
      <c r="L250" s="29"/>
    </row>
    <row r="251" spans="1:12" ht="15.75">
      <c r="A251" s="17"/>
      <c r="B251" s="72" t="s">
        <v>479</v>
      </c>
      <c r="C251" s="55" t="s">
        <v>254</v>
      </c>
      <c r="D251" s="6">
        <f>D252+D256+D253+D255+D254</f>
        <v>238.90541</v>
      </c>
      <c r="E251" s="6">
        <f>E252+E256+E253+E255+E254</f>
        <v>0</v>
      </c>
      <c r="F251" s="6">
        <f>F252+F256+F253+F255+F254</f>
        <v>212.24041</v>
      </c>
      <c r="G251" s="5"/>
      <c r="H251" s="68">
        <f t="shared" si="20"/>
        <v>-26.664999999999992</v>
      </c>
      <c r="I251" s="73">
        <f t="shared" si="21"/>
        <v>88.83867887294808</v>
      </c>
      <c r="J251" s="58"/>
      <c r="L251" s="29"/>
    </row>
    <row r="252" spans="1:12" ht="47.25">
      <c r="A252" s="17"/>
      <c r="B252" s="49" t="s">
        <v>479</v>
      </c>
      <c r="C252" s="7" t="s">
        <v>255</v>
      </c>
      <c r="D252" s="1">
        <v>130.05701</v>
      </c>
      <c r="E252" s="6"/>
      <c r="F252" s="1">
        <v>130.05701</v>
      </c>
      <c r="G252" s="5"/>
      <c r="H252" s="69">
        <f aca="true" t="shared" si="22" ref="H252:H283">F252-D252</f>
        <v>0</v>
      </c>
      <c r="I252" s="70">
        <f aca="true" t="shared" si="23" ref="I252:I283">F252/D252*100</f>
        <v>100</v>
      </c>
      <c r="J252" s="58"/>
      <c r="L252" s="29"/>
    </row>
    <row r="253" spans="1:12" ht="31.5">
      <c r="A253" s="17"/>
      <c r="B253" s="49" t="s">
        <v>479</v>
      </c>
      <c r="C253" s="7" t="s">
        <v>256</v>
      </c>
      <c r="D253" s="1">
        <v>11.9484</v>
      </c>
      <c r="E253" s="6"/>
      <c r="F253" s="1">
        <v>11.9484</v>
      </c>
      <c r="G253" s="5"/>
      <c r="H253" s="69">
        <f t="shared" si="22"/>
        <v>0</v>
      </c>
      <c r="I253" s="70">
        <f t="shared" si="23"/>
        <v>100</v>
      </c>
      <c r="J253" s="58"/>
      <c r="L253" s="29"/>
    </row>
    <row r="254" spans="1:12" ht="31.5">
      <c r="A254" s="17"/>
      <c r="B254" s="49" t="s">
        <v>479</v>
      </c>
      <c r="C254" s="7" t="s">
        <v>190</v>
      </c>
      <c r="D254" s="1">
        <v>32.9</v>
      </c>
      <c r="E254" s="6"/>
      <c r="F254" s="1">
        <v>32.9</v>
      </c>
      <c r="G254" s="5"/>
      <c r="H254" s="69">
        <f t="shared" si="22"/>
        <v>0</v>
      </c>
      <c r="I254" s="70">
        <f t="shared" si="23"/>
        <v>100</v>
      </c>
      <c r="J254" s="58"/>
      <c r="L254" s="29"/>
    </row>
    <row r="255" spans="1:12" ht="31.5">
      <c r="A255" s="17"/>
      <c r="B255" s="49" t="s">
        <v>479</v>
      </c>
      <c r="C255" s="7" t="s">
        <v>257</v>
      </c>
      <c r="D255" s="1">
        <v>64</v>
      </c>
      <c r="E255" s="6"/>
      <c r="F255" s="1">
        <v>37.335</v>
      </c>
      <c r="G255" s="5"/>
      <c r="H255" s="69">
        <f t="shared" si="22"/>
        <v>-26.665</v>
      </c>
      <c r="I255" s="70">
        <f t="shared" si="23"/>
        <v>58.3359375</v>
      </c>
      <c r="J255" s="58"/>
      <c r="L255" s="29"/>
    </row>
    <row r="256" spans="1:12" ht="31.5" hidden="1">
      <c r="A256" s="17"/>
      <c r="B256" s="49" t="s">
        <v>479</v>
      </c>
      <c r="C256" s="7" t="s">
        <v>258</v>
      </c>
      <c r="D256" s="1"/>
      <c r="E256" s="6"/>
      <c r="F256" s="1"/>
      <c r="G256" s="5"/>
      <c r="H256" s="69">
        <f t="shared" si="22"/>
        <v>0</v>
      </c>
      <c r="I256" s="70" t="e">
        <f t="shared" si="23"/>
        <v>#DIV/0!</v>
      </c>
      <c r="J256" s="58"/>
      <c r="L256" s="29"/>
    </row>
    <row r="257" spans="1:12" ht="15.75">
      <c r="A257" s="17"/>
      <c r="B257" s="72" t="s">
        <v>466</v>
      </c>
      <c r="C257" s="55" t="s">
        <v>259</v>
      </c>
      <c r="D257" s="6">
        <f>D258+D266+D259+D262+D263+D265+D260+D261+D264</f>
        <v>458.55600000000044</v>
      </c>
      <c r="E257" s="6">
        <f>E258+E266+E259+E262+E263+E265+E260+E261+E264</f>
        <v>0</v>
      </c>
      <c r="F257" s="6">
        <f>F258+F266+F259+F262+F263+F265+F260+F261+F264</f>
        <v>458.54588</v>
      </c>
      <c r="G257" s="5"/>
      <c r="H257" s="68">
        <f t="shared" si="22"/>
        <v>-0.010120000000426899</v>
      </c>
      <c r="I257" s="73">
        <f t="shared" si="23"/>
        <v>99.99779307216558</v>
      </c>
      <c r="J257" s="58"/>
      <c r="L257" s="29"/>
    </row>
    <row r="258" spans="1:12" ht="63">
      <c r="A258" s="17" t="s">
        <v>318</v>
      </c>
      <c r="B258" s="48" t="s">
        <v>467</v>
      </c>
      <c r="C258" s="3" t="s">
        <v>191</v>
      </c>
      <c r="D258" s="12">
        <v>250</v>
      </c>
      <c r="E258" s="13"/>
      <c r="F258" s="4">
        <v>250</v>
      </c>
      <c r="G258" s="5"/>
      <c r="H258" s="69">
        <f t="shared" si="22"/>
        <v>0</v>
      </c>
      <c r="I258" s="70">
        <f t="shared" si="23"/>
        <v>100</v>
      </c>
      <c r="J258" s="58"/>
      <c r="L258" s="29"/>
    </row>
    <row r="259" spans="1:12" ht="83.25" customHeight="1" hidden="1">
      <c r="A259" s="22"/>
      <c r="B259" s="49" t="s">
        <v>467</v>
      </c>
      <c r="C259" s="3" t="s">
        <v>188</v>
      </c>
      <c r="D259" s="1">
        <v>0</v>
      </c>
      <c r="E259" s="6"/>
      <c r="F259" s="1">
        <v>0</v>
      </c>
      <c r="G259" s="5"/>
      <c r="H259" s="69">
        <f t="shared" si="22"/>
        <v>0</v>
      </c>
      <c r="I259" s="70" t="e">
        <f t="shared" si="23"/>
        <v>#DIV/0!</v>
      </c>
      <c r="J259" s="2"/>
      <c r="L259" s="40"/>
    </row>
    <row r="260" spans="1:12" ht="63" hidden="1">
      <c r="A260" s="22"/>
      <c r="B260" s="49" t="s">
        <v>467</v>
      </c>
      <c r="C260" s="3" t="s">
        <v>279</v>
      </c>
      <c r="D260" s="1">
        <v>0</v>
      </c>
      <c r="E260" s="6"/>
      <c r="F260" s="1">
        <v>0</v>
      </c>
      <c r="G260" s="5"/>
      <c r="H260" s="69">
        <f t="shared" si="22"/>
        <v>0</v>
      </c>
      <c r="I260" s="70" t="e">
        <f t="shared" si="23"/>
        <v>#DIV/0!</v>
      </c>
      <c r="J260" s="2"/>
      <c r="L260" s="40"/>
    </row>
    <row r="261" spans="1:12" ht="83.25" customHeight="1">
      <c r="A261" s="22"/>
      <c r="B261" s="49" t="s">
        <v>467</v>
      </c>
      <c r="C261" s="3" t="s">
        <v>185</v>
      </c>
      <c r="D261" s="1">
        <v>135.4</v>
      </c>
      <c r="E261" s="6"/>
      <c r="F261" s="1">
        <v>135.4</v>
      </c>
      <c r="G261" s="5"/>
      <c r="H261" s="69">
        <f t="shared" si="22"/>
        <v>0</v>
      </c>
      <c r="I261" s="70">
        <f t="shared" si="23"/>
        <v>100</v>
      </c>
      <c r="J261" s="2"/>
      <c r="L261" s="40"/>
    </row>
    <row r="262" spans="1:12" ht="78.75">
      <c r="A262" s="22"/>
      <c r="B262" s="49" t="s">
        <v>467</v>
      </c>
      <c r="C262" s="55" t="s">
        <v>274</v>
      </c>
      <c r="D262" s="1">
        <v>38.69</v>
      </c>
      <c r="E262" s="6"/>
      <c r="F262" s="1">
        <v>38.69</v>
      </c>
      <c r="G262" s="5"/>
      <c r="H262" s="69">
        <f t="shared" si="22"/>
        <v>0</v>
      </c>
      <c r="I262" s="70">
        <f t="shared" si="23"/>
        <v>100</v>
      </c>
      <c r="J262" s="2"/>
      <c r="L262" s="40"/>
    </row>
    <row r="263" spans="1:12" ht="78.75">
      <c r="A263" s="22"/>
      <c r="B263" s="49" t="s">
        <v>467</v>
      </c>
      <c r="C263" s="55" t="s">
        <v>275</v>
      </c>
      <c r="D263" s="1">
        <v>14</v>
      </c>
      <c r="E263" s="6"/>
      <c r="F263" s="1">
        <v>14</v>
      </c>
      <c r="G263" s="5"/>
      <c r="H263" s="69">
        <f t="shared" si="22"/>
        <v>0</v>
      </c>
      <c r="I263" s="70">
        <f t="shared" si="23"/>
        <v>100</v>
      </c>
      <c r="J263" s="2"/>
      <c r="L263" s="40"/>
    </row>
    <row r="264" spans="1:12" ht="63">
      <c r="A264" s="22"/>
      <c r="B264" s="49" t="s">
        <v>467</v>
      </c>
      <c r="C264" s="7" t="s">
        <v>228</v>
      </c>
      <c r="D264" s="1">
        <v>5.166</v>
      </c>
      <c r="E264" s="6"/>
      <c r="F264" s="1">
        <v>5.16588</v>
      </c>
      <c r="G264" s="5"/>
      <c r="H264" s="69">
        <f t="shared" si="22"/>
        <v>-0.00012000000000078614</v>
      </c>
      <c r="I264" s="70">
        <f t="shared" si="23"/>
        <v>99.99767711962832</v>
      </c>
      <c r="J264" s="2"/>
      <c r="L264" s="40"/>
    </row>
    <row r="265" spans="1:12" ht="78" customHeight="1">
      <c r="A265" s="22"/>
      <c r="B265" s="49" t="s">
        <v>467</v>
      </c>
      <c r="C265" s="47" t="s">
        <v>186</v>
      </c>
      <c r="D265" s="1">
        <v>15.3</v>
      </c>
      <c r="E265" s="6"/>
      <c r="F265" s="1">
        <v>15.29</v>
      </c>
      <c r="G265" s="5"/>
      <c r="H265" s="69">
        <f t="shared" si="22"/>
        <v>-0.010000000000001563</v>
      </c>
      <c r="I265" s="70">
        <f t="shared" si="23"/>
        <v>99.93464052287581</v>
      </c>
      <c r="J265" s="2"/>
      <c r="L265" s="40"/>
    </row>
    <row r="266" spans="1:12" ht="63" hidden="1">
      <c r="A266" s="22" t="s">
        <v>308</v>
      </c>
      <c r="B266" s="72" t="s">
        <v>72</v>
      </c>
      <c r="C266" s="74" t="s">
        <v>74</v>
      </c>
      <c r="D266" s="6">
        <f>4444.8-4246.99-197.81</f>
        <v>3.979039320256561E-13</v>
      </c>
      <c r="E266" s="6"/>
      <c r="F266" s="6">
        <v>0</v>
      </c>
      <c r="G266" s="5"/>
      <c r="H266" s="68">
        <f t="shared" si="22"/>
        <v>-3.979039320256561E-13</v>
      </c>
      <c r="I266" s="73">
        <f t="shared" si="23"/>
        <v>0</v>
      </c>
      <c r="J266" s="2"/>
      <c r="L266" s="40"/>
    </row>
    <row r="267" spans="1:12" s="28" customFormat="1" ht="15.75">
      <c r="A267" s="91"/>
      <c r="B267" s="91"/>
      <c r="C267" s="80" t="s">
        <v>474</v>
      </c>
      <c r="D267" s="71">
        <f>D269+D271+D277+D280+D284</f>
        <v>3699.7789500000003</v>
      </c>
      <c r="E267" s="71">
        <f>E269+E271+E277+E280+E284</f>
        <v>19</v>
      </c>
      <c r="F267" s="71">
        <f>F269+F271+F277+F280+F284</f>
        <v>3153.49635</v>
      </c>
      <c r="G267" s="71" t="e">
        <f>#REF!+#REF!+#REF!+#REF!+#REF!+#REF!+#REF!+#REF!</f>
        <v>#REF!</v>
      </c>
      <c r="H267" s="68">
        <f t="shared" si="22"/>
        <v>-546.2826000000005</v>
      </c>
      <c r="I267" s="73">
        <f t="shared" si="23"/>
        <v>85.23472327988675</v>
      </c>
      <c r="J267" s="59"/>
      <c r="L267" s="105"/>
    </row>
    <row r="268" spans="1:12" ht="15.75" hidden="1">
      <c r="A268" s="27" t="s">
        <v>295</v>
      </c>
      <c r="B268" s="64" t="s">
        <v>296</v>
      </c>
      <c r="C268" s="80" t="s">
        <v>392</v>
      </c>
      <c r="D268" s="71"/>
      <c r="E268" s="71"/>
      <c r="F268" s="71"/>
      <c r="G268" s="71"/>
      <c r="H268" s="68">
        <f t="shared" si="22"/>
        <v>0</v>
      </c>
      <c r="I268" s="73" t="e">
        <f t="shared" si="23"/>
        <v>#DIV/0!</v>
      </c>
      <c r="J268" s="2"/>
      <c r="L268" s="40"/>
    </row>
    <row r="269" spans="1:12" ht="20.25" customHeight="1">
      <c r="A269" s="27" t="s">
        <v>295</v>
      </c>
      <c r="B269" s="64" t="s">
        <v>296</v>
      </c>
      <c r="C269" s="74" t="s">
        <v>38</v>
      </c>
      <c r="D269" s="71">
        <v>107.0432</v>
      </c>
      <c r="E269" s="71"/>
      <c r="F269" s="71">
        <v>40.3022</v>
      </c>
      <c r="G269" s="71"/>
      <c r="H269" s="68">
        <f t="shared" si="22"/>
        <v>-66.741</v>
      </c>
      <c r="I269" s="73">
        <f t="shared" si="23"/>
        <v>37.65040656482616</v>
      </c>
      <c r="J269" s="2"/>
      <c r="L269" s="40"/>
    </row>
    <row r="270" spans="1:12" ht="13.5" customHeight="1" hidden="1">
      <c r="A270" s="27" t="s">
        <v>295</v>
      </c>
      <c r="B270" s="64" t="s">
        <v>296</v>
      </c>
      <c r="C270" s="55" t="s">
        <v>473</v>
      </c>
      <c r="D270" s="71">
        <v>0</v>
      </c>
      <c r="E270" s="71"/>
      <c r="F270" s="71"/>
      <c r="G270" s="71"/>
      <c r="H270" s="68">
        <f t="shared" si="22"/>
        <v>0</v>
      </c>
      <c r="I270" s="73" t="e">
        <f t="shared" si="23"/>
        <v>#DIV/0!</v>
      </c>
      <c r="J270" s="2"/>
      <c r="L270" s="40"/>
    </row>
    <row r="271" spans="1:12" ht="15.75">
      <c r="A271" s="17" t="s">
        <v>297</v>
      </c>
      <c r="B271" s="64" t="s">
        <v>298</v>
      </c>
      <c r="C271" s="74" t="s">
        <v>264</v>
      </c>
      <c r="D271" s="71">
        <f>D272+D273+D274+D275+D276</f>
        <v>3411.48275</v>
      </c>
      <c r="E271" s="71">
        <f>E272+E273+E274+E275+E276</f>
        <v>0</v>
      </c>
      <c r="F271" s="71">
        <f>F272+F273+F274+F275+F276</f>
        <v>2996.26573</v>
      </c>
      <c r="G271" s="71"/>
      <c r="H271" s="68">
        <f t="shared" si="22"/>
        <v>-415.21702000000005</v>
      </c>
      <c r="I271" s="73">
        <f t="shared" si="23"/>
        <v>87.82884011358404</v>
      </c>
      <c r="J271" s="2"/>
      <c r="L271" s="40"/>
    </row>
    <row r="272" spans="1:12" ht="15.75">
      <c r="A272" s="17"/>
      <c r="B272" s="64" t="s">
        <v>356</v>
      </c>
      <c r="C272" s="63" t="s">
        <v>45</v>
      </c>
      <c r="D272" s="71">
        <v>1709.44465</v>
      </c>
      <c r="E272" s="71"/>
      <c r="F272" s="71">
        <v>1508.98762</v>
      </c>
      <c r="G272" s="71"/>
      <c r="H272" s="68">
        <f t="shared" si="22"/>
        <v>-200.4570299999998</v>
      </c>
      <c r="I272" s="73">
        <f t="shared" si="23"/>
        <v>88.27355831614672</v>
      </c>
      <c r="J272" s="2"/>
      <c r="L272" s="40"/>
    </row>
    <row r="273" spans="1:12" ht="15.75">
      <c r="A273" s="17"/>
      <c r="B273" s="64" t="s">
        <v>358</v>
      </c>
      <c r="C273" s="63" t="s">
        <v>44</v>
      </c>
      <c r="D273" s="71">
        <v>1667.0031</v>
      </c>
      <c r="E273" s="71"/>
      <c r="F273" s="71">
        <v>1463.70911</v>
      </c>
      <c r="G273" s="71"/>
      <c r="H273" s="68">
        <f t="shared" si="22"/>
        <v>-203.2939899999999</v>
      </c>
      <c r="I273" s="73">
        <f t="shared" si="23"/>
        <v>87.80482231856678</v>
      </c>
      <c r="J273" s="2"/>
      <c r="L273" s="40"/>
    </row>
    <row r="274" spans="1:12" ht="15.75">
      <c r="A274" s="17"/>
      <c r="B274" s="64" t="s">
        <v>360</v>
      </c>
      <c r="C274" s="74" t="s">
        <v>395</v>
      </c>
      <c r="D274" s="71">
        <v>17.684</v>
      </c>
      <c r="E274" s="71"/>
      <c r="F274" s="71">
        <v>14.218</v>
      </c>
      <c r="G274" s="71"/>
      <c r="H274" s="68">
        <f t="shared" si="22"/>
        <v>-3.466000000000001</v>
      </c>
      <c r="I274" s="73">
        <f t="shared" si="23"/>
        <v>80.40036190907034</v>
      </c>
      <c r="J274" s="2"/>
      <c r="L274" s="40"/>
    </row>
    <row r="275" spans="1:12" ht="31.5">
      <c r="A275" s="17"/>
      <c r="B275" s="64" t="s">
        <v>377</v>
      </c>
      <c r="C275" s="74" t="s">
        <v>398</v>
      </c>
      <c r="D275" s="71">
        <v>17.351</v>
      </c>
      <c r="E275" s="71"/>
      <c r="F275" s="71">
        <v>9.351</v>
      </c>
      <c r="G275" s="71"/>
      <c r="H275" s="68">
        <f t="shared" si="22"/>
        <v>-7.999999999999998</v>
      </c>
      <c r="I275" s="73">
        <f t="shared" si="23"/>
        <v>53.89314736902773</v>
      </c>
      <c r="J275" s="2"/>
      <c r="L275" s="40"/>
    </row>
    <row r="276" spans="1:12" ht="20.25" customHeight="1" hidden="1">
      <c r="A276" s="17"/>
      <c r="B276" s="64" t="s">
        <v>372</v>
      </c>
      <c r="C276" s="74" t="s">
        <v>399</v>
      </c>
      <c r="D276" s="71"/>
      <c r="E276" s="71"/>
      <c r="F276" s="71"/>
      <c r="G276" s="71"/>
      <c r="H276" s="68">
        <f t="shared" si="22"/>
        <v>0</v>
      </c>
      <c r="I276" s="73" t="e">
        <f t="shared" si="23"/>
        <v>#DIV/0!</v>
      </c>
      <c r="J276" s="2"/>
      <c r="L276" s="40"/>
    </row>
    <row r="277" spans="1:12" ht="15.75">
      <c r="A277" s="17"/>
      <c r="B277" s="64" t="s">
        <v>300</v>
      </c>
      <c r="C277" s="74" t="s">
        <v>265</v>
      </c>
      <c r="D277" s="71">
        <f>D278+D279</f>
        <v>45.3</v>
      </c>
      <c r="E277" s="71">
        <f>E278+E279</f>
        <v>19</v>
      </c>
      <c r="F277" s="71">
        <f>F278+F279</f>
        <v>12.63098</v>
      </c>
      <c r="G277" s="71"/>
      <c r="H277" s="68">
        <f t="shared" si="22"/>
        <v>-32.669019999999996</v>
      </c>
      <c r="I277" s="73">
        <f t="shared" si="23"/>
        <v>27.88295805739514</v>
      </c>
      <c r="J277" s="2"/>
      <c r="L277" s="40"/>
    </row>
    <row r="278" spans="1:12" ht="63" hidden="1">
      <c r="A278" s="17"/>
      <c r="B278" s="48" t="s">
        <v>19</v>
      </c>
      <c r="C278" s="7" t="s">
        <v>238</v>
      </c>
      <c r="D278" s="1"/>
      <c r="E278" s="15"/>
      <c r="F278" s="4"/>
      <c r="G278" s="5"/>
      <c r="H278" s="69">
        <f t="shared" si="22"/>
        <v>0</v>
      </c>
      <c r="I278" s="70" t="e">
        <f t="shared" si="23"/>
        <v>#DIV/0!</v>
      </c>
      <c r="J278" s="2"/>
      <c r="L278" s="40"/>
    </row>
    <row r="279" spans="1:12" ht="63">
      <c r="A279" s="27" t="s">
        <v>311</v>
      </c>
      <c r="B279" s="48" t="s">
        <v>312</v>
      </c>
      <c r="C279" s="18" t="s">
        <v>34</v>
      </c>
      <c r="D279" s="15">
        <v>45.3</v>
      </c>
      <c r="E279" s="15">
        <v>19</v>
      </c>
      <c r="F279" s="4">
        <v>12.63098</v>
      </c>
      <c r="G279" s="5">
        <f>F279-L271</f>
        <v>12.63098</v>
      </c>
      <c r="H279" s="69">
        <f t="shared" si="22"/>
        <v>-32.669019999999996</v>
      </c>
      <c r="I279" s="70">
        <f t="shared" si="23"/>
        <v>27.88295805739514</v>
      </c>
      <c r="J279" s="2"/>
      <c r="L279" s="40"/>
    </row>
    <row r="280" spans="1:12" ht="15.75">
      <c r="A280" s="19" t="s">
        <v>322</v>
      </c>
      <c r="B280" s="72" t="s">
        <v>335</v>
      </c>
      <c r="C280" s="55" t="s">
        <v>266</v>
      </c>
      <c r="D280" s="71">
        <f>D281+D282+D283</f>
        <v>135.183</v>
      </c>
      <c r="E280" s="71">
        <f>E281+E282+E283</f>
        <v>0</v>
      </c>
      <c r="F280" s="71">
        <f>F281+F282+F283</f>
        <v>103.52744</v>
      </c>
      <c r="G280" s="71"/>
      <c r="H280" s="68">
        <f t="shared" si="22"/>
        <v>-31.655559999999994</v>
      </c>
      <c r="I280" s="73">
        <f t="shared" si="23"/>
        <v>76.5831798377015</v>
      </c>
      <c r="J280" s="2"/>
      <c r="L280" s="40"/>
    </row>
    <row r="281" spans="1:12" ht="18" customHeight="1">
      <c r="A281" s="19"/>
      <c r="B281" s="49" t="s">
        <v>445</v>
      </c>
      <c r="C281" s="24" t="s">
        <v>244</v>
      </c>
      <c r="D281" s="12">
        <v>0.083</v>
      </c>
      <c r="E281" s="12"/>
      <c r="F281" s="12">
        <v>0</v>
      </c>
      <c r="G281" s="12"/>
      <c r="H281" s="69">
        <f t="shared" si="22"/>
        <v>-0.083</v>
      </c>
      <c r="I281" s="70">
        <f t="shared" si="23"/>
        <v>0</v>
      </c>
      <c r="J281" s="2"/>
      <c r="L281" s="40"/>
    </row>
    <row r="282" spans="1:12" ht="16.5" customHeight="1" hidden="1">
      <c r="A282" s="19"/>
      <c r="B282" s="49" t="s">
        <v>288</v>
      </c>
      <c r="C282" s="24" t="s">
        <v>268</v>
      </c>
      <c r="D282" s="12"/>
      <c r="E282" s="12"/>
      <c r="F282" s="12"/>
      <c r="G282" s="12"/>
      <c r="H282" s="69">
        <f t="shared" si="22"/>
        <v>0</v>
      </c>
      <c r="I282" s="70" t="e">
        <f t="shared" si="23"/>
        <v>#DIV/0!</v>
      </c>
      <c r="J282" s="2"/>
      <c r="L282" s="40"/>
    </row>
    <row r="283" spans="1:12" ht="15.75">
      <c r="A283" s="19"/>
      <c r="B283" s="49" t="s">
        <v>446</v>
      </c>
      <c r="C283" s="99" t="s">
        <v>267</v>
      </c>
      <c r="D283" s="12">
        <v>135.1</v>
      </c>
      <c r="E283" s="12"/>
      <c r="F283" s="12">
        <v>103.52744</v>
      </c>
      <c r="G283" s="12"/>
      <c r="H283" s="69">
        <f t="shared" si="22"/>
        <v>-31.572559999999996</v>
      </c>
      <c r="I283" s="70">
        <f t="shared" si="23"/>
        <v>76.63022945965952</v>
      </c>
      <c r="J283" s="2"/>
      <c r="L283" s="40"/>
    </row>
    <row r="284" spans="1:12" ht="30.75" customHeight="1">
      <c r="A284" s="19"/>
      <c r="B284" s="72" t="s">
        <v>324</v>
      </c>
      <c r="C284" s="3" t="s">
        <v>247</v>
      </c>
      <c r="D284" s="71">
        <f>D285</f>
        <v>0.77</v>
      </c>
      <c r="E284" s="71">
        <f>E285</f>
        <v>0</v>
      </c>
      <c r="F284" s="71">
        <f>F285</f>
        <v>0.77</v>
      </c>
      <c r="G284" s="71"/>
      <c r="H284" s="68">
        <f aca="true" t="shared" si="24" ref="H284:H308">F284-D284</f>
        <v>0</v>
      </c>
      <c r="I284" s="73">
        <f aca="true" t="shared" si="25" ref="I284:I308">F284/D284*100</f>
        <v>100</v>
      </c>
      <c r="J284" s="2"/>
      <c r="L284" s="40"/>
    </row>
    <row r="285" spans="1:12" ht="31.5">
      <c r="A285" s="19"/>
      <c r="B285" s="72" t="s">
        <v>325</v>
      </c>
      <c r="C285" s="3" t="s">
        <v>39</v>
      </c>
      <c r="D285" s="71">
        <v>0.77</v>
      </c>
      <c r="E285" s="71"/>
      <c r="F285" s="71">
        <v>0.77</v>
      </c>
      <c r="G285" s="71"/>
      <c r="H285" s="68">
        <f t="shared" si="24"/>
        <v>0</v>
      </c>
      <c r="I285" s="73">
        <f t="shared" si="25"/>
        <v>100</v>
      </c>
      <c r="J285" s="2"/>
      <c r="L285" s="40"/>
    </row>
    <row r="286" spans="1:12" s="28" customFormat="1" ht="15.75">
      <c r="A286" s="97"/>
      <c r="B286" s="64"/>
      <c r="C286" s="80" t="s">
        <v>476</v>
      </c>
      <c r="D286" s="71">
        <f>D287+D288+D295+D299+D300+D306</f>
        <v>778.39772</v>
      </c>
      <c r="E286" s="71">
        <f>E287+E288+E295+E299+E300+E306</f>
        <v>20.700000000000003</v>
      </c>
      <c r="F286" s="71">
        <f>F287+F288+F295+F299+F300+F306</f>
        <v>773.15406</v>
      </c>
      <c r="G286" s="71"/>
      <c r="H286" s="68">
        <f t="shared" si="24"/>
        <v>-5.243660000000091</v>
      </c>
      <c r="I286" s="73">
        <f t="shared" si="25"/>
        <v>99.32635208643724</v>
      </c>
      <c r="J286" s="59"/>
      <c r="L286" s="105"/>
    </row>
    <row r="287" spans="1:12" ht="24" customHeight="1" hidden="1">
      <c r="A287" s="27"/>
      <c r="B287" s="64" t="s">
        <v>296</v>
      </c>
      <c r="C287" s="80" t="s">
        <v>89</v>
      </c>
      <c r="D287" s="71"/>
      <c r="E287" s="71"/>
      <c r="F287" s="71"/>
      <c r="G287" s="71"/>
      <c r="H287" s="68">
        <f t="shared" si="24"/>
        <v>0</v>
      </c>
      <c r="I287" s="73" t="e">
        <f t="shared" si="25"/>
        <v>#DIV/0!</v>
      </c>
      <c r="J287" s="2"/>
      <c r="L287" s="40"/>
    </row>
    <row r="288" spans="1:12" ht="15.75">
      <c r="A288" s="17" t="s">
        <v>297</v>
      </c>
      <c r="B288" s="64" t="s">
        <v>298</v>
      </c>
      <c r="C288" s="74" t="s">
        <v>264</v>
      </c>
      <c r="D288" s="71">
        <f>D289+D290+D291+D292+D294+D293</f>
        <v>727.8925600000001</v>
      </c>
      <c r="E288" s="71">
        <f>E289+E290+E291+E292+E294+E293</f>
        <v>0</v>
      </c>
      <c r="F288" s="71">
        <f>F289+F290+F291+F292+F294+F293</f>
        <v>724.4589</v>
      </c>
      <c r="G288" s="71"/>
      <c r="H288" s="68">
        <f t="shared" si="24"/>
        <v>-3.4336600000001454</v>
      </c>
      <c r="I288" s="73">
        <f t="shared" si="25"/>
        <v>99.5282737880986</v>
      </c>
      <c r="J288" s="2"/>
      <c r="L288" s="40"/>
    </row>
    <row r="289" spans="1:12" ht="15.75">
      <c r="A289" s="17"/>
      <c r="B289" s="48" t="s">
        <v>356</v>
      </c>
      <c r="C289" s="20" t="s">
        <v>45</v>
      </c>
      <c r="D289" s="12">
        <v>407.37982</v>
      </c>
      <c r="E289" s="12"/>
      <c r="F289" s="12">
        <v>407.37982</v>
      </c>
      <c r="G289" s="12"/>
      <c r="H289" s="69">
        <f t="shared" si="24"/>
        <v>0</v>
      </c>
      <c r="I289" s="70">
        <f t="shared" si="25"/>
        <v>100</v>
      </c>
      <c r="J289" s="2"/>
      <c r="L289" s="40"/>
    </row>
    <row r="290" spans="1:12" ht="15.75">
      <c r="A290" s="17"/>
      <c r="B290" s="48" t="s">
        <v>358</v>
      </c>
      <c r="C290" s="20" t="s">
        <v>44</v>
      </c>
      <c r="D290" s="12">
        <v>305.77253</v>
      </c>
      <c r="E290" s="12"/>
      <c r="F290" s="12">
        <v>302.33887</v>
      </c>
      <c r="G290" s="12"/>
      <c r="H290" s="69">
        <f t="shared" si="24"/>
        <v>-3.4336600000000317</v>
      </c>
      <c r="I290" s="70">
        <f t="shared" si="25"/>
        <v>98.87705412909393</v>
      </c>
      <c r="J290" s="2"/>
      <c r="L290" s="40"/>
    </row>
    <row r="291" spans="1:12" ht="15.75">
      <c r="A291" s="17"/>
      <c r="B291" s="48" t="s">
        <v>360</v>
      </c>
      <c r="C291" s="18" t="s">
        <v>395</v>
      </c>
      <c r="D291" s="12">
        <v>14.59621</v>
      </c>
      <c r="E291" s="12"/>
      <c r="F291" s="12">
        <v>14.59621</v>
      </c>
      <c r="G291" s="12"/>
      <c r="H291" s="69">
        <f t="shared" si="24"/>
        <v>0</v>
      </c>
      <c r="I291" s="70">
        <f t="shared" si="25"/>
        <v>100</v>
      </c>
      <c r="J291" s="2"/>
      <c r="L291" s="40"/>
    </row>
    <row r="292" spans="1:12" ht="15" customHeight="1">
      <c r="A292" s="17"/>
      <c r="B292" s="48" t="s">
        <v>375</v>
      </c>
      <c r="C292" s="18" t="s">
        <v>46</v>
      </c>
      <c r="D292" s="12">
        <v>0.144</v>
      </c>
      <c r="E292" s="12"/>
      <c r="F292" s="12">
        <v>0.144</v>
      </c>
      <c r="G292" s="12"/>
      <c r="H292" s="69">
        <f t="shared" si="24"/>
        <v>0</v>
      </c>
      <c r="I292" s="70">
        <f t="shared" si="25"/>
        <v>100</v>
      </c>
      <c r="J292" s="2"/>
      <c r="L292" s="40"/>
    </row>
    <row r="293" spans="1:12" ht="31.5" hidden="1">
      <c r="A293" s="17"/>
      <c r="B293" s="48" t="s">
        <v>377</v>
      </c>
      <c r="C293" s="18" t="s">
        <v>398</v>
      </c>
      <c r="D293" s="12"/>
      <c r="E293" s="12"/>
      <c r="F293" s="12"/>
      <c r="G293" s="12"/>
      <c r="H293" s="69">
        <f t="shared" si="24"/>
        <v>0</v>
      </c>
      <c r="I293" s="70" t="e">
        <f t="shared" si="25"/>
        <v>#DIV/0!</v>
      </c>
      <c r="J293" s="2"/>
      <c r="L293" s="40"/>
    </row>
    <row r="294" spans="1:12" ht="31.5" hidden="1">
      <c r="A294" s="17"/>
      <c r="B294" s="48" t="s">
        <v>372</v>
      </c>
      <c r="C294" s="18" t="s">
        <v>399</v>
      </c>
      <c r="D294" s="12"/>
      <c r="E294" s="12"/>
      <c r="F294" s="12"/>
      <c r="G294" s="12"/>
      <c r="H294" s="69">
        <f t="shared" si="24"/>
        <v>0</v>
      </c>
      <c r="I294" s="70" t="e">
        <f t="shared" si="25"/>
        <v>#DIV/0!</v>
      </c>
      <c r="J294" s="2"/>
      <c r="L294" s="40"/>
    </row>
    <row r="295" spans="1:12" ht="15.75">
      <c r="A295" s="17"/>
      <c r="B295" s="64" t="s">
        <v>300</v>
      </c>
      <c r="C295" s="74" t="s">
        <v>265</v>
      </c>
      <c r="D295" s="71">
        <f>D296+D297+D298</f>
        <v>1.2854999999999999</v>
      </c>
      <c r="E295" s="71">
        <f>E296+E297+E298</f>
        <v>0</v>
      </c>
      <c r="F295" s="71">
        <f>F296+F297+F298</f>
        <v>1.2854999999999999</v>
      </c>
      <c r="G295" s="71"/>
      <c r="H295" s="68">
        <f t="shared" si="24"/>
        <v>0</v>
      </c>
      <c r="I295" s="73">
        <f t="shared" si="25"/>
        <v>100</v>
      </c>
      <c r="J295" s="2"/>
      <c r="L295" s="40"/>
    </row>
    <row r="296" spans="1:12" ht="31.5">
      <c r="A296" s="17"/>
      <c r="B296" s="48" t="s">
        <v>309</v>
      </c>
      <c r="C296" s="18" t="s">
        <v>158</v>
      </c>
      <c r="D296" s="12">
        <v>0.25</v>
      </c>
      <c r="E296" s="12"/>
      <c r="F296" s="12">
        <v>0.25</v>
      </c>
      <c r="G296" s="12"/>
      <c r="H296" s="69">
        <f t="shared" si="24"/>
        <v>0</v>
      </c>
      <c r="I296" s="70">
        <f t="shared" si="25"/>
        <v>100</v>
      </c>
      <c r="J296" s="2"/>
      <c r="L296" s="40"/>
    </row>
    <row r="297" spans="1:12" ht="31.5">
      <c r="A297" s="17"/>
      <c r="B297" s="48" t="s">
        <v>365</v>
      </c>
      <c r="C297" s="18" t="s">
        <v>32</v>
      </c>
      <c r="D297" s="12">
        <v>0.0855</v>
      </c>
      <c r="E297" s="12"/>
      <c r="F297" s="12">
        <v>0.0855</v>
      </c>
      <c r="G297" s="12"/>
      <c r="H297" s="69">
        <f t="shared" si="24"/>
        <v>0</v>
      </c>
      <c r="I297" s="70">
        <f t="shared" si="25"/>
        <v>100</v>
      </c>
      <c r="J297" s="2"/>
      <c r="L297" s="40"/>
    </row>
    <row r="298" spans="1:12" ht="66.75" customHeight="1">
      <c r="A298" s="17"/>
      <c r="B298" s="48" t="s">
        <v>312</v>
      </c>
      <c r="C298" s="18" t="s">
        <v>34</v>
      </c>
      <c r="D298" s="12">
        <f>0.95</f>
        <v>0.95</v>
      </c>
      <c r="E298" s="12"/>
      <c r="F298" s="12">
        <v>0.95</v>
      </c>
      <c r="G298" s="12"/>
      <c r="H298" s="69">
        <f t="shared" si="24"/>
        <v>0</v>
      </c>
      <c r="I298" s="70">
        <f t="shared" si="25"/>
        <v>100</v>
      </c>
      <c r="J298" s="2"/>
      <c r="L298" s="40"/>
    </row>
    <row r="299" spans="1:12" ht="63">
      <c r="A299" s="27" t="s">
        <v>311</v>
      </c>
      <c r="B299" s="64" t="s">
        <v>321</v>
      </c>
      <c r="C299" s="55" t="s">
        <v>270</v>
      </c>
      <c r="D299" s="6">
        <v>24.99279</v>
      </c>
      <c r="E299" s="6">
        <v>20.6</v>
      </c>
      <c r="F299" s="6">
        <v>24.99279</v>
      </c>
      <c r="G299" s="5"/>
      <c r="H299" s="68">
        <f t="shared" si="24"/>
        <v>0</v>
      </c>
      <c r="I299" s="73">
        <f t="shared" si="25"/>
        <v>100</v>
      </c>
      <c r="J299" s="2"/>
      <c r="L299" s="40"/>
    </row>
    <row r="300" spans="1:12" ht="15.75">
      <c r="A300" s="19" t="s">
        <v>322</v>
      </c>
      <c r="B300" s="72" t="s">
        <v>335</v>
      </c>
      <c r="C300" s="63" t="s">
        <v>266</v>
      </c>
      <c r="D300" s="100">
        <f>D301+D302+D303+D304</f>
        <v>24.226869999999998</v>
      </c>
      <c r="E300" s="100">
        <f>E301+E302+E303+E304</f>
        <v>0</v>
      </c>
      <c r="F300" s="100">
        <f>F301+F302+F303+F304</f>
        <v>22.41687</v>
      </c>
      <c r="G300" s="71"/>
      <c r="H300" s="68">
        <f t="shared" si="24"/>
        <v>-1.8099999999999987</v>
      </c>
      <c r="I300" s="73">
        <f t="shared" si="25"/>
        <v>92.52895648509279</v>
      </c>
      <c r="J300" s="2"/>
      <c r="L300" s="40"/>
    </row>
    <row r="301" spans="1:12" ht="15.75">
      <c r="A301" s="19"/>
      <c r="B301" s="72" t="s">
        <v>444</v>
      </c>
      <c r="C301" s="87" t="s">
        <v>271</v>
      </c>
      <c r="D301" s="100">
        <v>15.46687</v>
      </c>
      <c r="E301" s="71"/>
      <c r="F301" s="71">
        <v>15.46687</v>
      </c>
      <c r="G301" s="71"/>
      <c r="H301" s="68">
        <f t="shared" si="24"/>
        <v>0</v>
      </c>
      <c r="I301" s="73">
        <f t="shared" si="25"/>
        <v>100</v>
      </c>
      <c r="J301" s="2"/>
      <c r="L301" s="40"/>
    </row>
    <row r="302" spans="1:12" ht="15.75" customHeight="1">
      <c r="A302" s="19"/>
      <c r="B302" s="72" t="s">
        <v>445</v>
      </c>
      <c r="C302" s="87" t="s">
        <v>192</v>
      </c>
      <c r="D302" s="100">
        <v>0.55</v>
      </c>
      <c r="E302" s="71"/>
      <c r="F302" s="71">
        <v>0.34</v>
      </c>
      <c r="G302" s="71"/>
      <c r="H302" s="68">
        <f t="shared" si="24"/>
        <v>-0.21000000000000002</v>
      </c>
      <c r="I302" s="73">
        <f t="shared" si="25"/>
        <v>61.81818181818181</v>
      </c>
      <c r="J302" s="2"/>
      <c r="L302" s="40"/>
    </row>
    <row r="303" spans="1:12" ht="15.75">
      <c r="A303" s="19"/>
      <c r="B303" s="72" t="s">
        <v>446</v>
      </c>
      <c r="C303" s="99" t="s">
        <v>267</v>
      </c>
      <c r="D303" s="100">
        <v>2.22</v>
      </c>
      <c r="E303" s="71"/>
      <c r="F303" s="71">
        <v>2.22</v>
      </c>
      <c r="G303" s="71"/>
      <c r="H303" s="68">
        <f t="shared" si="24"/>
        <v>0</v>
      </c>
      <c r="I303" s="73">
        <f t="shared" si="25"/>
        <v>100</v>
      </c>
      <c r="J303" s="2"/>
      <c r="L303" s="40"/>
    </row>
    <row r="304" spans="1:12" ht="31.5">
      <c r="A304" s="19"/>
      <c r="B304" s="72" t="s">
        <v>424</v>
      </c>
      <c r="C304" s="99" t="s">
        <v>281</v>
      </c>
      <c r="D304" s="100">
        <v>5.99</v>
      </c>
      <c r="E304" s="71"/>
      <c r="F304" s="71">
        <v>4.39</v>
      </c>
      <c r="G304" s="71"/>
      <c r="H304" s="68">
        <f t="shared" si="24"/>
        <v>-1.6000000000000005</v>
      </c>
      <c r="I304" s="73">
        <f t="shared" si="25"/>
        <v>73.28881469115191</v>
      </c>
      <c r="J304" s="2"/>
      <c r="L304" s="40"/>
    </row>
    <row r="305" spans="1:12" ht="66" customHeight="1" hidden="1">
      <c r="A305" s="19"/>
      <c r="B305" s="72" t="s">
        <v>415</v>
      </c>
      <c r="C305" s="55" t="s">
        <v>282</v>
      </c>
      <c r="D305" s="100"/>
      <c r="E305" s="71"/>
      <c r="F305" s="71"/>
      <c r="G305" s="71"/>
      <c r="H305" s="68">
        <f t="shared" si="24"/>
        <v>0</v>
      </c>
      <c r="I305" s="76" t="e">
        <f t="shared" si="25"/>
        <v>#DIV/0!</v>
      </c>
      <c r="J305" s="2"/>
      <c r="L305" s="40"/>
    </row>
    <row r="306" spans="1:12" ht="31.5" hidden="1">
      <c r="A306" s="27" t="s">
        <v>323</v>
      </c>
      <c r="B306" s="64" t="s">
        <v>325</v>
      </c>
      <c r="C306" s="80" t="s">
        <v>39</v>
      </c>
      <c r="D306" s="6"/>
      <c r="E306" s="6">
        <v>0.1</v>
      </c>
      <c r="F306" s="5"/>
      <c r="G306" s="5" t="e">
        <f>F306-#REF!</f>
        <v>#REF!</v>
      </c>
      <c r="H306" s="68">
        <f t="shared" si="24"/>
        <v>0</v>
      </c>
      <c r="I306" s="73" t="e">
        <f t="shared" si="25"/>
        <v>#DIV/0!</v>
      </c>
      <c r="J306" s="2"/>
      <c r="L306" s="59"/>
    </row>
    <row r="307" spans="1:12" ht="18" customHeight="1">
      <c r="A307" s="27"/>
      <c r="B307" s="97"/>
      <c r="C307" s="74" t="s">
        <v>391</v>
      </c>
      <c r="D307" s="6">
        <f>D188+D267+D286</f>
        <v>24464.92765</v>
      </c>
      <c r="E307" s="6">
        <f>E188+E267+E286</f>
        <v>155.7</v>
      </c>
      <c r="F307" s="6">
        <f>F188+F267+F286</f>
        <v>15056.614</v>
      </c>
      <c r="G307" s="6" t="e">
        <f>G267+#REF!+#REF!</f>
        <v>#REF!</v>
      </c>
      <c r="H307" s="68">
        <f t="shared" si="24"/>
        <v>-9408.313650000002</v>
      </c>
      <c r="I307" s="73">
        <f t="shared" si="25"/>
        <v>61.54366861575411</v>
      </c>
      <c r="L307" s="29"/>
    </row>
    <row r="308" spans="1:12" ht="18" customHeight="1">
      <c r="A308" s="27"/>
      <c r="B308" s="97"/>
      <c r="C308" s="74" t="s">
        <v>290</v>
      </c>
      <c r="D308" s="6">
        <f>D307+D186</f>
        <v>205921.32398000002</v>
      </c>
      <c r="E308" s="6"/>
      <c r="F308" s="6">
        <f>F307+F186</f>
        <v>188909.93327000004</v>
      </c>
      <c r="G308" s="6"/>
      <c r="H308" s="68">
        <f t="shared" si="24"/>
        <v>-17011.390709999978</v>
      </c>
      <c r="I308" s="73">
        <f t="shared" si="25"/>
        <v>91.73888824080589</v>
      </c>
      <c r="L308" s="29"/>
    </row>
    <row r="309" spans="1:12" ht="78" customHeight="1">
      <c r="A309" s="117" t="s">
        <v>28</v>
      </c>
      <c r="B309" s="117"/>
      <c r="C309" s="117"/>
      <c r="D309" s="117"/>
      <c r="E309" s="60"/>
      <c r="F309" s="114" t="s">
        <v>47</v>
      </c>
      <c r="G309" s="114"/>
      <c r="H309" s="114"/>
      <c r="I309" s="114"/>
      <c r="L309" s="29"/>
    </row>
    <row r="310" spans="1:12" ht="18" customHeight="1">
      <c r="A310" s="106"/>
      <c r="B310" s="106"/>
      <c r="C310" s="106"/>
      <c r="G310" s="107"/>
      <c r="H310" s="107"/>
      <c r="L310" s="29"/>
    </row>
    <row r="311" spans="1:12" ht="18" customHeight="1">
      <c r="A311" s="106"/>
      <c r="B311" s="106"/>
      <c r="C311" s="106"/>
      <c r="L311" s="29"/>
    </row>
    <row r="312" spans="3:12" ht="15.75">
      <c r="C312" s="41"/>
      <c r="L312" s="34"/>
    </row>
    <row r="313" spans="3:12" ht="15.75">
      <c r="C313" s="42"/>
      <c r="D313" s="43"/>
      <c r="E313" s="43"/>
      <c r="F313" s="43"/>
      <c r="G313" s="44"/>
      <c r="L313" s="45"/>
    </row>
    <row r="314" spans="3:12" ht="45" customHeight="1">
      <c r="C314" s="41"/>
      <c r="D314" s="9"/>
      <c r="E314" s="9"/>
      <c r="F314" s="9"/>
      <c r="G314" s="46"/>
      <c r="H314" s="9"/>
      <c r="L314" s="45"/>
    </row>
    <row r="315" spans="3:12" ht="84" customHeight="1">
      <c r="C315" s="41"/>
      <c r="D315" s="9"/>
      <c r="E315" s="9"/>
      <c r="F315" s="9"/>
      <c r="G315" s="46"/>
      <c r="L315" s="29"/>
    </row>
    <row r="316" spans="3:12" ht="15.75">
      <c r="C316" s="41"/>
      <c r="L316" s="45"/>
    </row>
    <row r="317" spans="3:12" ht="15.75">
      <c r="C317" s="41"/>
      <c r="D317" s="9"/>
      <c r="E317" s="9"/>
      <c r="F317" s="9"/>
      <c r="G317" s="46"/>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row r="428" ht="15.75">
      <c r="L428" s="29"/>
    </row>
    <row r="429" ht="15.75">
      <c r="L429" s="29"/>
    </row>
    <row r="430" ht="15.75">
      <c r="L430" s="29"/>
    </row>
  </sheetData>
  <mergeCells count="11">
    <mergeCell ref="A311:C311"/>
    <mergeCell ref="H6:I6"/>
    <mergeCell ref="A9:I9"/>
    <mergeCell ref="A187:I187"/>
    <mergeCell ref="F309:I309"/>
    <mergeCell ref="A309:D309"/>
    <mergeCell ref="F1:I1"/>
    <mergeCell ref="A4:I4"/>
    <mergeCell ref="A5:I5"/>
    <mergeCell ref="A310:C310"/>
    <mergeCell ref="G310:H310"/>
  </mergeCells>
  <printOptions/>
  <pageMargins left="1.41" right="0.31" top="0.55" bottom="0.19" header="0" footer="0"/>
  <pageSetup blackAndWhite="1" fitToHeight="8" horizontalDpi="600" verticalDpi="600" orientation="portrait" paperSize="9" scale="61" r:id="rId1"/>
  <rowBreaks count="1" manualBreakCount="1">
    <brk id="102" max="8" man="1"/>
  </rowBreaks>
</worksheet>
</file>

<file path=xl/worksheets/sheet2.xml><?xml version="1.0" encoding="utf-8"?>
<worksheet xmlns="http://schemas.openxmlformats.org/spreadsheetml/2006/main" xmlns:r="http://schemas.openxmlformats.org/officeDocument/2006/relationships">
  <dimension ref="A1:M420"/>
  <sheetViews>
    <sheetView workbookViewId="0" topLeftCell="B1">
      <selection activeCell="F297" sqref="F297"/>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27</v>
      </c>
      <c r="F1" s="77" t="s">
        <v>29</v>
      </c>
      <c r="G1" s="62"/>
      <c r="H1" s="62"/>
      <c r="I1" s="62"/>
    </row>
    <row r="2" spans="3:9" s="52" customFormat="1" ht="26.25" customHeight="1" hidden="1">
      <c r="C2" s="115" t="s">
        <v>291</v>
      </c>
      <c r="D2" s="115"/>
      <c r="E2" s="115"/>
      <c r="F2" s="115"/>
      <c r="G2" s="115"/>
      <c r="H2" s="115"/>
      <c r="I2" s="115"/>
    </row>
    <row r="3" spans="3:9" s="52" customFormat="1" ht="25.5" customHeight="1" hidden="1">
      <c r="C3" s="115" t="s">
        <v>76</v>
      </c>
      <c r="D3" s="115"/>
      <c r="E3" s="115"/>
      <c r="F3" s="115"/>
      <c r="G3" s="115"/>
      <c r="H3" s="115"/>
      <c r="I3" s="115"/>
    </row>
    <row r="4" spans="5:9" s="52" customFormat="1" ht="24.75" customHeight="1" hidden="1">
      <c r="E4" s="62"/>
      <c r="F4" s="78" t="s">
        <v>95</v>
      </c>
      <c r="G4" s="62"/>
      <c r="H4" s="53"/>
      <c r="I4" s="53"/>
    </row>
    <row r="5" spans="5:9" s="52" customFormat="1" ht="24.75" customHeight="1" hidden="1">
      <c r="E5" s="62"/>
      <c r="F5" s="78" t="s">
        <v>97</v>
      </c>
      <c r="G5" s="62"/>
      <c r="H5" s="53"/>
      <c r="I5" s="53"/>
    </row>
    <row r="6" spans="1:12" s="52" customFormat="1" ht="24.75" customHeight="1">
      <c r="A6" s="116" t="s">
        <v>24</v>
      </c>
      <c r="B6" s="116"/>
      <c r="C6" s="116"/>
      <c r="D6" s="116"/>
      <c r="E6" s="116"/>
      <c r="F6" s="116"/>
      <c r="G6" s="116"/>
      <c r="H6" s="116"/>
      <c r="I6" s="116"/>
      <c r="J6" s="53"/>
      <c r="L6" s="54"/>
    </row>
    <row r="7" spans="1:12" s="52" customFormat="1" ht="26.25">
      <c r="A7" s="116" t="s">
        <v>138</v>
      </c>
      <c r="B7" s="116"/>
      <c r="C7" s="116"/>
      <c r="D7" s="116"/>
      <c r="E7" s="116"/>
      <c r="F7" s="116"/>
      <c r="G7" s="116"/>
      <c r="H7" s="116"/>
      <c r="I7" s="116"/>
      <c r="J7" s="56"/>
      <c r="L7" s="54"/>
    </row>
    <row r="8" spans="8:13" ht="15.75">
      <c r="H8" s="108" t="s">
        <v>56</v>
      </c>
      <c r="I8" s="108"/>
      <c r="J8" s="30"/>
      <c r="K8" s="31"/>
      <c r="L8" s="30"/>
      <c r="M8" s="31"/>
    </row>
    <row r="9" spans="1:12" ht="78.75">
      <c r="A9" s="32" t="s">
        <v>292</v>
      </c>
      <c r="B9" s="32" t="s">
        <v>293</v>
      </c>
      <c r="C9" s="32" t="s">
        <v>294</v>
      </c>
      <c r="D9" s="33" t="s">
        <v>57</v>
      </c>
      <c r="E9" s="32" t="s">
        <v>456</v>
      </c>
      <c r="F9" s="32" t="s">
        <v>58</v>
      </c>
      <c r="G9" s="33" t="s">
        <v>451</v>
      </c>
      <c r="H9" s="32" t="s">
        <v>59</v>
      </c>
      <c r="I9" s="32" t="s">
        <v>60</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295</v>
      </c>
      <c r="B12" s="79" t="s">
        <v>296</v>
      </c>
      <c r="C12" s="80" t="s">
        <v>98</v>
      </c>
      <c r="D12" s="5">
        <f>SUM(D13:D21)</f>
        <v>11310.90986</v>
      </c>
      <c r="E12" s="5">
        <f>SUM(E13:E21)</f>
        <v>3613.0000000000005</v>
      </c>
      <c r="F12" s="5">
        <f>SUM(F13:F21)</f>
        <v>3101.3671899999995</v>
      </c>
      <c r="G12" s="5" t="e">
        <f>SUM(G13:G21)</f>
        <v>#REF!</v>
      </c>
      <c r="H12" s="5">
        <f aca="true" t="shared" si="0" ref="H12:H36">F12-D12</f>
        <v>-8209.54267</v>
      </c>
      <c r="I12" s="6">
        <f aca="true" t="shared" si="1" ref="I12:I28">F12/D12*100</f>
        <v>27.41925475834355</v>
      </c>
      <c r="J12" s="2"/>
      <c r="L12" s="37"/>
    </row>
    <row r="13" spans="1:12" ht="15.75">
      <c r="A13" s="17" t="s">
        <v>295</v>
      </c>
      <c r="B13" s="48" t="s">
        <v>296</v>
      </c>
      <c r="C13" s="18" t="s">
        <v>114</v>
      </c>
      <c r="D13" s="6">
        <v>661.187</v>
      </c>
      <c r="E13" s="1">
        <v>314.3</v>
      </c>
      <c r="F13" s="4">
        <v>219.47235</v>
      </c>
      <c r="G13" s="5">
        <f aca="true" t="shared" si="2" ref="G13:G19">F13-L12</f>
        <v>219.47235</v>
      </c>
      <c r="H13" s="4">
        <f t="shared" si="0"/>
        <v>-441.71465</v>
      </c>
      <c r="I13" s="1">
        <f t="shared" si="1"/>
        <v>33.193688018669455</v>
      </c>
      <c r="J13" s="2"/>
      <c r="L13" s="37"/>
    </row>
    <row r="14" spans="1:12" ht="31.5">
      <c r="A14" s="17" t="s">
        <v>295</v>
      </c>
      <c r="B14" s="48" t="s">
        <v>296</v>
      </c>
      <c r="C14" s="18" t="s">
        <v>118</v>
      </c>
      <c r="D14" s="6">
        <v>5185.09256</v>
      </c>
      <c r="E14" s="1">
        <v>1487.3</v>
      </c>
      <c r="F14" s="4">
        <v>1378.40051</v>
      </c>
      <c r="G14" s="5">
        <f t="shared" si="2"/>
        <v>1378.40051</v>
      </c>
      <c r="H14" s="4">
        <f t="shared" si="0"/>
        <v>-3806.69205</v>
      </c>
      <c r="I14" s="1">
        <f t="shared" si="1"/>
        <v>26.583913286979005</v>
      </c>
      <c r="J14" s="2"/>
      <c r="L14" s="37"/>
    </row>
    <row r="15" spans="1:12" ht="47.25">
      <c r="A15" s="17"/>
      <c r="B15" s="48" t="s">
        <v>296</v>
      </c>
      <c r="C15" s="18" t="s">
        <v>251</v>
      </c>
      <c r="D15" s="6">
        <v>42.653</v>
      </c>
      <c r="E15" s="1"/>
      <c r="F15" s="4">
        <v>5.051</v>
      </c>
      <c r="G15" s="5"/>
      <c r="H15" s="4">
        <f>F15-D15</f>
        <v>-37.602</v>
      </c>
      <c r="I15" s="1">
        <f>F15/D15*100</f>
        <v>11.842074414460884</v>
      </c>
      <c r="J15" s="2"/>
      <c r="L15" s="37"/>
    </row>
    <row r="16" spans="1:12" ht="31.5">
      <c r="A16" s="17" t="s">
        <v>295</v>
      </c>
      <c r="B16" s="48" t="s">
        <v>296</v>
      </c>
      <c r="C16" s="18" t="s">
        <v>119</v>
      </c>
      <c r="D16" s="6">
        <v>1142.398</v>
      </c>
      <c r="E16" s="1">
        <v>432.3</v>
      </c>
      <c r="F16" s="4">
        <v>312.18446</v>
      </c>
      <c r="G16" s="5">
        <f>F16-L14</f>
        <v>312.18446</v>
      </c>
      <c r="H16" s="4">
        <f t="shared" si="0"/>
        <v>-830.21354</v>
      </c>
      <c r="I16" s="1">
        <f t="shared" si="1"/>
        <v>27.327118920026123</v>
      </c>
      <c r="J16" s="2"/>
      <c r="L16" s="37"/>
    </row>
    <row r="17" spans="1:12" ht="31.5">
      <c r="A17" s="17" t="s">
        <v>295</v>
      </c>
      <c r="B17" s="48" t="s">
        <v>296</v>
      </c>
      <c r="C17" s="7" t="s">
        <v>120</v>
      </c>
      <c r="D17" s="6">
        <v>1838.62908</v>
      </c>
      <c r="E17" s="1">
        <v>549.7</v>
      </c>
      <c r="F17" s="4">
        <v>509.84256</v>
      </c>
      <c r="G17" s="5">
        <f t="shared" si="2"/>
        <v>509.84256</v>
      </c>
      <c r="H17" s="4">
        <f t="shared" si="0"/>
        <v>-1328.7865199999999</v>
      </c>
      <c r="I17" s="1">
        <f t="shared" si="1"/>
        <v>27.72949506487736</v>
      </c>
      <c r="J17" s="2"/>
      <c r="L17" s="37"/>
    </row>
    <row r="18" spans="1:12" ht="47.25">
      <c r="A18" s="17" t="s">
        <v>295</v>
      </c>
      <c r="B18" s="48" t="s">
        <v>296</v>
      </c>
      <c r="C18" s="7" t="s">
        <v>121</v>
      </c>
      <c r="D18" s="6">
        <v>846.4</v>
      </c>
      <c r="E18" s="1">
        <v>309</v>
      </c>
      <c r="F18" s="4">
        <v>223.2218</v>
      </c>
      <c r="G18" s="5">
        <f t="shared" si="2"/>
        <v>223.2218</v>
      </c>
      <c r="H18" s="4">
        <f t="shared" si="0"/>
        <v>-623.1782</v>
      </c>
      <c r="I18" s="1">
        <f t="shared" si="1"/>
        <v>26.373086011342156</v>
      </c>
      <c r="J18" s="2"/>
      <c r="L18" s="37"/>
    </row>
    <row r="19" spans="1:12" ht="31.5">
      <c r="A19" s="17" t="s">
        <v>295</v>
      </c>
      <c r="B19" s="48" t="s">
        <v>296</v>
      </c>
      <c r="C19" s="7" t="s">
        <v>122</v>
      </c>
      <c r="D19" s="6">
        <v>763.1878</v>
      </c>
      <c r="E19" s="1">
        <v>258.7</v>
      </c>
      <c r="F19" s="4">
        <v>226.05309</v>
      </c>
      <c r="G19" s="5">
        <f t="shared" si="2"/>
        <v>226.05309</v>
      </c>
      <c r="H19" s="4">
        <f t="shared" si="0"/>
        <v>-537.13471</v>
      </c>
      <c r="I19" s="1">
        <f t="shared" si="1"/>
        <v>29.619589044793432</v>
      </c>
      <c r="J19" s="2"/>
      <c r="L19" s="37"/>
    </row>
    <row r="20" spans="1:12" ht="31.5">
      <c r="A20" s="17" t="s">
        <v>295</v>
      </c>
      <c r="B20" s="48" t="s">
        <v>296</v>
      </c>
      <c r="C20" s="18" t="s">
        <v>123</v>
      </c>
      <c r="D20" s="6">
        <v>441.5034</v>
      </c>
      <c r="E20" s="1">
        <v>132.9</v>
      </c>
      <c r="F20" s="4">
        <v>122.73122</v>
      </c>
      <c r="G20" s="5" t="e">
        <f>F20-#REF!</f>
        <v>#REF!</v>
      </c>
      <c r="H20" s="4">
        <f t="shared" si="0"/>
        <v>-318.77218</v>
      </c>
      <c r="I20" s="1">
        <f t="shared" si="1"/>
        <v>27.79847675012242</v>
      </c>
      <c r="J20" s="2"/>
      <c r="L20" s="37"/>
    </row>
    <row r="21" spans="1:12" ht="31.5">
      <c r="A21" s="17" t="s">
        <v>295</v>
      </c>
      <c r="B21" s="48" t="s">
        <v>296</v>
      </c>
      <c r="C21" s="18" t="s">
        <v>124</v>
      </c>
      <c r="D21" s="6">
        <v>389.85902</v>
      </c>
      <c r="E21" s="1">
        <v>128.8</v>
      </c>
      <c r="F21" s="4">
        <v>104.4102</v>
      </c>
      <c r="G21" s="5">
        <f>F21-L20</f>
        <v>104.4102</v>
      </c>
      <c r="H21" s="4">
        <f t="shared" si="0"/>
        <v>-285.44881999999996</v>
      </c>
      <c r="I21" s="1">
        <f t="shared" si="1"/>
        <v>26.781527332623984</v>
      </c>
      <c r="J21" s="2"/>
      <c r="L21" s="2"/>
    </row>
    <row r="22" spans="1:12" ht="63">
      <c r="A22" s="17"/>
      <c r="B22" s="72" t="s">
        <v>478</v>
      </c>
      <c r="C22" s="55" t="s">
        <v>125</v>
      </c>
      <c r="D22" s="46">
        <v>36.31</v>
      </c>
      <c r="E22" s="46"/>
      <c r="F22" s="5">
        <v>0</v>
      </c>
      <c r="G22" s="5"/>
      <c r="H22" s="5">
        <f t="shared" si="0"/>
        <v>-36.31</v>
      </c>
      <c r="I22" s="6">
        <f t="shared" si="1"/>
        <v>0</v>
      </c>
      <c r="J22" s="2"/>
      <c r="L22" s="2"/>
    </row>
    <row r="23" spans="1:12" ht="15.75">
      <c r="A23" s="17" t="s">
        <v>297</v>
      </c>
      <c r="B23" s="64" t="s">
        <v>298</v>
      </c>
      <c r="C23" s="74" t="s">
        <v>99</v>
      </c>
      <c r="D23" s="6">
        <f>SUM(D24:D30)</f>
        <v>61751.23932</v>
      </c>
      <c r="E23" s="6">
        <f>SUM(E24:E30)</f>
        <v>21838.1</v>
      </c>
      <c r="F23" s="6">
        <f>SUM(F24:F30)</f>
        <v>19884.293589999997</v>
      </c>
      <c r="G23" s="6">
        <f>SUM(G24:G30)</f>
        <v>19884.293589999997</v>
      </c>
      <c r="H23" s="5">
        <f t="shared" si="0"/>
        <v>-41866.94573000001</v>
      </c>
      <c r="I23" s="6">
        <f t="shared" si="1"/>
        <v>32.20063890047283</v>
      </c>
      <c r="J23" s="2"/>
      <c r="L23" s="37"/>
    </row>
    <row r="24" spans="1:12" ht="15.75">
      <c r="A24" s="17" t="s">
        <v>357</v>
      </c>
      <c r="B24" s="64" t="s">
        <v>356</v>
      </c>
      <c r="C24" s="74" t="s">
        <v>393</v>
      </c>
      <c r="D24" s="6">
        <v>22213.52117</v>
      </c>
      <c r="E24" s="6">
        <v>7100.2</v>
      </c>
      <c r="F24" s="5">
        <v>7021.99598</v>
      </c>
      <c r="G24" s="5">
        <f>F24-L23</f>
        <v>7021.99598</v>
      </c>
      <c r="H24" s="5">
        <f t="shared" si="0"/>
        <v>-15191.52519</v>
      </c>
      <c r="I24" s="6">
        <f t="shared" si="1"/>
        <v>31.611359253945782</v>
      </c>
      <c r="J24" s="2"/>
      <c r="L24" s="37"/>
    </row>
    <row r="25" spans="1:12" ht="31.5" hidden="1">
      <c r="A25" s="17"/>
      <c r="B25" s="64" t="s">
        <v>356</v>
      </c>
      <c r="C25" s="74" t="s">
        <v>126</v>
      </c>
      <c r="D25" s="6">
        <v>0</v>
      </c>
      <c r="E25" s="6"/>
      <c r="F25" s="5">
        <v>0</v>
      </c>
      <c r="G25" s="5"/>
      <c r="H25" s="5">
        <f t="shared" si="0"/>
        <v>0</v>
      </c>
      <c r="I25" s="6" t="e">
        <f t="shared" si="1"/>
        <v>#DIV/0!</v>
      </c>
      <c r="J25" s="2"/>
      <c r="L25" s="37"/>
    </row>
    <row r="26" spans="1:12" ht="15.75">
      <c r="A26" s="17" t="s">
        <v>359</v>
      </c>
      <c r="B26" s="64" t="s">
        <v>358</v>
      </c>
      <c r="C26" s="74" t="s">
        <v>394</v>
      </c>
      <c r="D26" s="6">
        <v>32238.68869</v>
      </c>
      <c r="E26" s="6">
        <v>12055.3</v>
      </c>
      <c r="F26" s="5">
        <v>10673.10242</v>
      </c>
      <c r="G26" s="5">
        <f>F26-L24</f>
        <v>10673.10242</v>
      </c>
      <c r="H26" s="5">
        <f t="shared" si="0"/>
        <v>-21565.58627</v>
      </c>
      <c r="I26" s="6">
        <f t="shared" si="1"/>
        <v>33.10650294318779</v>
      </c>
      <c r="J26" s="2"/>
      <c r="L26" s="37"/>
    </row>
    <row r="27" spans="1:12" ht="31.5">
      <c r="A27" s="17" t="s">
        <v>357</v>
      </c>
      <c r="B27" s="64" t="s">
        <v>457</v>
      </c>
      <c r="C27" s="74" t="s">
        <v>127</v>
      </c>
      <c r="D27" s="6">
        <v>230.5</v>
      </c>
      <c r="E27" s="6">
        <v>59.1</v>
      </c>
      <c r="F27" s="5">
        <v>84.03208</v>
      </c>
      <c r="G27" s="5">
        <f>F27-L26</f>
        <v>84.03208</v>
      </c>
      <c r="H27" s="5">
        <f t="shared" si="0"/>
        <v>-146.46792</v>
      </c>
      <c r="I27" s="6">
        <f t="shared" si="1"/>
        <v>36.45643383947939</v>
      </c>
      <c r="J27" s="2"/>
      <c r="L27" s="37"/>
    </row>
    <row r="28" spans="1:12" ht="21.75" customHeight="1">
      <c r="A28" s="17" t="s">
        <v>361</v>
      </c>
      <c r="B28" s="64" t="s">
        <v>360</v>
      </c>
      <c r="C28" s="74" t="s">
        <v>395</v>
      </c>
      <c r="D28" s="6">
        <v>3224.958</v>
      </c>
      <c r="E28" s="6">
        <v>1069.7</v>
      </c>
      <c r="F28" s="5">
        <v>949.30695</v>
      </c>
      <c r="G28" s="5">
        <f>F28-L27</f>
        <v>949.30695</v>
      </c>
      <c r="H28" s="5">
        <f t="shared" si="0"/>
        <v>-2275.65105</v>
      </c>
      <c r="I28" s="6">
        <f t="shared" si="1"/>
        <v>29.436257774519852</v>
      </c>
      <c r="J28" s="2"/>
      <c r="L28" s="37"/>
    </row>
    <row r="29" spans="1:12" ht="19.5" customHeight="1" hidden="1">
      <c r="A29" s="17" t="s">
        <v>361</v>
      </c>
      <c r="B29" s="64" t="s">
        <v>360</v>
      </c>
      <c r="C29" s="74" t="s">
        <v>388</v>
      </c>
      <c r="D29" s="6"/>
      <c r="E29" s="6"/>
      <c r="F29" s="5"/>
      <c r="G29" s="5">
        <f>F29-L28</f>
        <v>0</v>
      </c>
      <c r="H29" s="5">
        <f t="shared" si="0"/>
        <v>0</v>
      </c>
      <c r="I29" s="6"/>
      <c r="J29" s="2"/>
      <c r="L29" s="37"/>
    </row>
    <row r="30" spans="1:12" ht="15.75">
      <c r="A30" s="17" t="s">
        <v>362</v>
      </c>
      <c r="B30" s="64" t="s">
        <v>363</v>
      </c>
      <c r="C30" s="74" t="s">
        <v>100</v>
      </c>
      <c r="D30" s="5">
        <f>SUM(D31:D37)</f>
        <v>3843.57146</v>
      </c>
      <c r="E30" s="5">
        <f>SUM(E31:E37)</f>
        <v>1553.8000000000002</v>
      </c>
      <c r="F30" s="5">
        <f>SUM(F31:F37)</f>
        <v>1155.85616</v>
      </c>
      <c r="G30" s="5">
        <f>SUM(G31:G37)</f>
        <v>1155.85616</v>
      </c>
      <c r="H30" s="5">
        <f t="shared" si="0"/>
        <v>-2687.7153</v>
      </c>
      <c r="I30" s="6">
        <f aca="true" t="shared" si="3" ref="I30:I36">F30/D30*100</f>
        <v>30.072451417359623</v>
      </c>
      <c r="J30" s="2"/>
      <c r="L30" s="37"/>
    </row>
    <row r="31" spans="1:12" ht="24" customHeight="1">
      <c r="A31" s="17" t="s">
        <v>362</v>
      </c>
      <c r="B31" s="48" t="s">
        <v>375</v>
      </c>
      <c r="C31" s="18" t="s">
        <v>396</v>
      </c>
      <c r="D31" s="1">
        <v>630.073</v>
      </c>
      <c r="E31" s="1">
        <v>171.2</v>
      </c>
      <c r="F31" s="4">
        <v>189.77954</v>
      </c>
      <c r="G31" s="5">
        <f aca="true" t="shared" si="4" ref="G31:G37">F31-L30</f>
        <v>189.77954</v>
      </c>
      <c r="H31" s="4">
        <f t="shared" si="0"/>
        <v>-440.29346</v>
      </c>
      <c r="I31" s="1">
        <f t="shared" si="3"/>
        <v>30.12024638414914</v>
      </c>
      <c r="J31" s="2"/>
      <c r="L31" s="37"/>
    </row>
    <row r="32" spans="1:12" ht="15.75">
      <c r="A32" s="17" t="s">
        <v>362</v>
      </c>
      <c r="B32" s="48" t="s">
        <v>376</v>
      </c>
      <c r="C32" s="18" t="s">
        <v>397</v>
      </c>
      <c r="D32" s="1">
        <v>1105.39375</v>
      </c>
      <c r="E32" s="1">
        <v>275.5</v>
      </c>
      <c r="F32" s="4">
        <v>332.09345</v>
      </c>
      <c r="G32" s="5">
        <f t="shared" si="4"/>
        <v>332.09345</v>
      </c>
      <c r="H32" s="4">
        <f t="shared" si="0"/>
        <v>-773.3002999999999</v>
      </c>
      <c r="I32" s="1">
        <f t="shared" si="3"/>
        <v>30.043000514522543</v>
      </c>
      <c r="J32" s="2"/>
      <c r="L32" s="37"/>
    </row>
    <row r="33" spans="1:12" ht="33" customHeight="1">
      <c r="A33" s="17" t="s">
        <v>362</v>
      </c>
      <c r="B33" s="48" t="s">
        <v>377</v>
      </c>
      <c r="C33" s="18" t="s">
        <v>398</v>
      </c>
      <c r="D33" s="1">
        <v>821.70071</v>
      </c>
      <c r="E33" s="1">
        <v>185</v>
      </c>
      <c r="F33" s="4">
        <v>280.91967</v>
      </c>
      <c r="G33" s="5">
        <f t="shared" si="4"/>
        <v>280.91967</v>
      </c>
      <c r="H33" s="4">
        <f t="shared" si="0"/>
        <v>-540.78104</v>
      </c>
      <c r="I33" s="1">
        <f t="shared" si="3"/>
        <v>34.18759002897783</v>
      </c>
      <c r="J33" s="2"/>
      <c r="L33" s="37"/>
    </row>
    <row r="34" spans="1:12" ht="18.75" customHeight="1">
      <c r="A34" s="17" t="s">
        <v>362</v>
      </c>
      <c r="B34" s="48" t="s">
        <v>372</v>
      </c>
      <c r="C34" s="18" t="s">
        <v>399</v>
      </c>
      <c r="D34" s="1">
        <v>1046.053</v>
      </c>
      <c r="E34" s="1">
        <v>439.2</v>
      </c>
      <c r="F34" s="4">
        <v>329.02969</v>
      </c>
      <c r="G34" s="5">
        <f t="shared" si="4"/>
        <v>329.02969</v>
      </c>
      <c r="H34" s="4">
        <f t="shared" si="0"/>
        <v>-717.02331</v>
      </c>
      <c r="I34" s="1">
        <f t="shared" si="3"/>
        <v>31.45439953807312</v>
      </c>
      <c r="J34" s="2"/>
      <c r="L34" s="37"/>
    </row>
    <row r="35" spans="1:12" ht="35.25" customHeight="1">
      <c r="A35" s="17" t="s">
        <v>362</v>
      </c>
      <c r="B35" s="48" t="s">
        <v>434</v>
      </c>
      <c r="C35" s="18" t="s">
        <v>128</v>
      </c>
      <c r="D35" s="1">
        <v>233.111</v>
      </c>
      <c r="E35" s="1">
        <v>76</v>
      </c>
      <c r="F35" s="4">
        <v>22.93381</v>
      </c>
      <c r="G35" s="5">
        <f t="shared" si="4"/>
        <v>22.93381</v>
      </c>
      <c r="H35" s="4">
        <f t="shared" si="0"/>
        <v>-210.17719</v>
      </c>
      <c r="I35" s="1">
        <f t="shared" si="3"/>
        <v>9.83815006584846</v>
      </c>
      <c r="J35" s="2"/>
      <c r="L35" s="37"/>
    </row>
    <row r="36" spans="1:12" ht="30" customHeight="1">
      <c r="A36" s="19" t="s">
        <v>362</v>
      </c>
      <c r="B36" s="49" t="s">
        <v>422</v>
      </c>
      <c r="C36" s="7" t="s">
        <v>423</v>
      </c>
      <c r="D36" s="1">
        <v>7.24</v>
      </c>
      <c r="E36" s="1">
        <v>4</v>
      </c>
      <c r="F36" s="4">
        <v>1.1</v>
      </c>
      <c r="G36" s="5">
        <f t="shared" si="4"/>
        <v>1.1</v>
      </c>
      <c r="H36" s="4">
        <f t="shared" si="0"/>
        <v>-6.140000000000001</v>
      </c>
      <c r="I36" s="1">
        <f t="shared" si="3"/>
        <v>15.193370165745856</v>
      </c>
      <c r="J36" s="2"/>
      <c r="L36" s="37"/>
    </row>
    <row r="37" spans="1:12" ht="1.5" customHeight="1" hidden="1">
      <c r="A37" s="19" t="s">
        <v>362</v>
      </c>
      <c r="B37" s="49" t="s">
        <v>430</v>
      </c>
      <c r="C37" s="18" t="s">
        <v>460</v>
      </c>
      <c r="D37" s="1"/>
      <c r="E37" s="1">
        <v>402.9</v>
      </c>
      <c r="F37" s="4"/>
      <c r="G37" s="5">
        <f t="shared" si="4"/>
        <v>0</v>
      </c>
      <c r="H37" s="4"/>
      <c r="I37" s="1"/>
      <c r="J37" s="2"/>
      <c r="K37" s="2"/>
      <c r="L37" s="2"/>
    </row>
    <row r="38" spans="1:12" ht="15.75" hidden="1">
      <c r="A38" s="17" t="s">
        <v>400</v>
      </c>
      <c r="B38" s="48" t="s">
        <v>299</v>
      </c>
      <c r="C38" s="18" t="s">
        <v>401</v>
      </c>
      <c r="D38" s="1">
        <f>SUM(D39:D39)</f>
        <v>0</v>
      </c>
      <c r="E38" s="1">
        <f>SUM(E39:E39)</f>
        <v>0</v>
      </c>
      <c r="F38" s="1">
        <f>SUM(F39:F39)</f>
        <v>0</v>
      </c>
      <c r="G38" s="6">
        <f>SUM(G39:G39)</f>
        <v>0</v>
      </c>
      <c r="H38" s="4">
        <f aca="true" t="shared" si="5" ref="H38:H93">F38-D38</f>
        <v>0</v>
      </c>
      <c r="I38" s="1" t="e">
        <f aca="true" t="shared" si="6" ref="I38:I93">F38/D38*100</f>
        <v>#DIV/0!</v>
      </c>
      <c r="J38" s="2"/>
      <c r="L38" s="37"/>
    </row>
    <row r="39" spans="1:12" ht="47.25" hidden="1">
      <c r="A39" s="17" t="s">
        <v>345</v>
      </c>
      <c r="B39" s="48" t="s">
        <v>346</v>
      </c>
      <c r="C39" s="7" t="s">
        <v>426</v>
      </c>
      <c r="D39" s="1"/>
      <c r="E39" s="1"/>
      <c r="F39" s="4"/>
      <c r="G39" s="5">
        <f>F39-L38</f>
        <v>0</v>
      </c>
      <c r="H39" s="4">
        <f t="shared" si="5"/>
        <v>0</v>
      </c>
      <c r="I39" s="1" t="e">
        <f t="shared" si="6"/>
        <v>#DIV/0!</v>
      </c>
      <c r="J39" s="2"/>
      <c r="L39" s="2"/>
    </row>
    <row r="40" spans="1:12" ht="33.75" customHeight="1">
      <c r="A40" s="17" t="s">
        <v>402</v>
      </c>
      <c r="B40" s="64" t="s">
        <v>300</v>
      </c>
      <c r="C40" s="55" t="s">
        <v>101</v>
      </c>
      <c r="D40" s="6">
        <f>D41+D54+D92+D94+D105+D111+D62+D93</f>
        <v>36660.40464</v>
      </c>
      <c r="E40" s="6">
        <f>E41+E54+E92+E94+E105+E111+E62+E93</f>
        <v>5469.299999999999</v>
      </c>
      <c r="F40" s="6">
        <f>F41+F54+F62+F92+F93+F94+F105+F111</f>
        <v>11011.48209</v>
      </c>
      <c r="G40" s="6" t="e">
        <f>G41+G54+G63+G64+#REF!+G85+G88+G91+G92+G94+G105+G112</f>
        <v>#REF!</v>
      </c>
      <c r="H40" s="5">
        <f t="shared" si="5"/>
        <v>-25648.922550000003</v>
      </c>
      <c r="I40" s="6">
        <f t="shared" si="6"/>
        <v>30.03644449135573</v>
      </c>
      <c r="J40" s="2"/>
      <c r="L40" s="2"/>
    </row>
    <row r="41" spans="1:12" ht="31.5" customHeight="1">
      <c r="A41" s="17"/>
      <c r="B41" s="79" t="s">
        <v>440</v>
      </c>
      <c r="C41" s="74" t="s">
        <v>102</v>
      </c>
      <c r="D41" s="6">
        <f>SUM(D42:D53)</f>
        <v>3645.6000000000004</v>
      </c>
      <c r="E41" s="6">
        <f>SUM(E42:E53)</f>
        <v>1141.1</v>
      </c>
      <c r="F41" s="6">
        <f>SUM(F42:F53)</f>
        <v>790.7563699999998</v>
      </c>
      <c r="G41" s="6">
        <f>SUM(G42:G52)</f>
        <v>741.8966399999998</v>
      </c>
      <c r="H41" s="5">
        <f t="shared" si="5"/>
        <v>-2854.8436300000003</v>
      </c>
      <c r="I41" s="6">
        <f t="shared" si="6"/>
        <v>21.690705782312918</v>
      </c>
      <c r="J41" s="2"/>
      <c r="L41" s="37"/>
    </row>
    <row r="42" spans="1:12" ht="189" customHeight="1">
      <c r="A42" s="17" t="s">
        <v>301</v>
      </c>
      <c r="B42" s="64" t="s">
        <v>302</v>
      </c>
      <c r="C42" s="83" t="s">
        <v>132</v>
      </c>
      <c r="D42" s="6">
        <v>1600</v>
      </c>
      <c r="E42" s="6">
        <v>482.5</v>
      </c>
      <c r="F42" s="5">
        <v>310.76579</v>
      </c>
      <c r="G42" s="5">
        <f aca="true" t="shared" si="7" ref="G42:G52">F42-L41</f>
        <v>310.76579</v>
      </c>
      <c r="H42" s="5">
        <f t="shared" si="5"/>
        <v>-1289.23421</v>
      </c>
      <c r="I42" s="6">
        <f t="shared" si="6"/>
        <v>19.422861875</v>
      </c>
      <c r="J42" s="2"/>
      <c r="L42" s="37"/>
    </row>
    <row r="43" spans="1:12" ht="158.25" customHeight="1">
      <c r="A43" s="17" t="s">
        <v>301</v>
      </c>
      <c r="B43" s="64" t="s">
        <v>348</v>
      </c>
      <c r="C43" s="82" t="s">
        <v>133</v>
      </c>
      <c r="D43" s="6">
        <v>2</v>
      </c>
      <c r="E43" s="6">
        <v>10.7</v>
      </c>
      <c r="F43" s="5">
        <v>0</v>
      </c>
      <c r="G43" s="5">
        <f t="shared" si="7"/>
        <v>0</v>
      </c>
      <c r="H43" s="5">
        <f t="shared" si="5"/>
        <v>-2</v>
      </c>
      <c r="I43" s="6">
        <f t="shared" si="6"/>
        <v>0</v>
      </c>
      <c r="J43" s="2"/>
      <c r="L43" s="37"/>
    </row>
    <row r="44" spans="1:12" ht="174.75" customHeight="1">
      <c r="A44" s="17" t="s">
        <v>301</v>
      </c>
      <c r="B44" s="64" t="s">
        <v>349</v>
      </c>
      <c r="C44" s="82" t="s">
        <v>137</v>
      </c>
      <c r="D44" s="6">
        <v>16</v>
      </c>
      <c r="E44" s="6">
        <v>105.6</v>
      </c>
      <c r="F44" s="5">
        <v>1.186</v>
      </c>
      <c r="G44" s="5">
        <f t="shared" si="7"/>
        <v>1.186</v>
      </c>
      <c r="H44" s="5">
        <f t="shared" si="5"/>
        <v>-14.814</v>
      </c>
      <c r="I44" s="6">
        <f t="shared" si="6"/>
        <v>7.4125</v>
      </c>
      <c r="J44" s="2"/>
      <c r="L44" s="37"/>
    </row>
    <row r="45" spans="1:12" ht="321" customHeight="1">
      <c r="A45" s="17" t="s">
        <v>301</v>
      </c>
      <c r="B45" s="64" t="s">
        <v>350</v>
      </c>
      <c r="C45" s="84" t="s">
        <v>141</v>
      </c>
      <c r="D45" s="6">
        <v>396.8</v>
      </c>
      <c r="E45" s="6">
        <v>108.4</v>
      </c>
      <c r="F45" s="5">
        <v>90.24821</v>
      </c>
      <c r="G45" s="5">
        <f t="shared" si="7"/>
        <v>90.24821</v>
      </c>
      <c r="H45" s="5">
        <f t="shared" si="5"/>
        <v>-306.55179</v>
      </c>
      <c r="I45" s="6">
        <f t="shared" si="6"/>
        <v>22.744004536290323</v>
      </c>
      <c r="J45" s="2"/>
      <c r="L45" s="37"/>
    </row>
    <row r="46" spans="1:12" ht="67.5" customHeight="1" hidden="1">
      <c r="A46" s="17" t="s">
        <v>301</v>
      </c>
      <c r="B46" s="64" t="s">
        <v>429</v>
      </c>
      <c r="C46" s="81" t="s">
        <v>11</v>
      </c>
      <c r="D46" s="6">
        <v>0</v>
      </c>
      <c r="E46" s="6">
        <v>0.2</v>
      </c>
      <c r="F46" s="5">
        <v>0</v>
      </c>
      <c r="G46" s="5">
        <f t="shared" si="7"/>
        <v>0</v>
      </c>
      <c r="H46" s="5">
        <f t="shared" si="5"/>
        <v>0</v>
      </c>
      <c r="I46" s="6" t="e">
        <f t="shared" si="6"/>
        <v>#DIV/0!</v>
      </c>
      <c r="J46" s="2"/>
      <c r="L46" s="37"/>
    </row>
    <row r="47" spans="1:12" ht="0.75" customHeight="1" hidden="1">
      <c r="A47" s="17" t="s">
        <v>301</v>
      </c>
      <c r="B47" s="64" t="s">
        <v>387</v>
      </c>
      <c r="C47" s="63" t="s">
        <v>6</v>
      </c>
      <c r="D47" s="6"/>
      <c r="E47" s="6">
        <v>5</v>
      </c>
      <c r="F47" s="5"/>
      <c r="G47" s="5">
        <f t="shared" si="7"/>
        <v>0</v>
      </c>
      <c r="H47" s="5">
        <f t="shared" si="5"/>
        <v>0</v>
      </c>
      <c r="I47" s="6" t="e">
        <f t="shared" si="6"/>
        <v>#DIV/0!</v>
      </c>
      <c r="J47" s="2"/>
      <c r="L47" s="37"/>
    </row>
    <row r="48" spans="1:12" ht="63" customHeight="1">
      <c r="A48" s="17" t="s">
        <v>326</v>
      </c>
      <c r="B48" s="64" t="s">
        <v>368</v>
      </c>
      <c r="C48" s="83" t="s">
        <v>142</v>
      </c>
      <c r="D48" s="6">
        <v>1000</v>
      </c>
      <c r="E48" s="6">
        <v>286.4</v>
      </c>
      <c r="F48" s="5">
        <v>221.82986</v>
      </c>
      <c r="G48" s="5">
        <f t="shared" si="7"/>
        <v>221.82986</v>
      </c>
      <c r="H48" s="5">
        <f t="shared" si="5"/>
        <v>-778.17014</v>
      </c>
      <c r="I48" s="6">
        <f t="shared" si="6"/>
        <v>22.182986</v>
      </c>
      <c r="J48" s="2"/>
      <c r="L48" s="37"/>
    </row>
    <row r="49" spans="1:12" ht="78.75" customHeight="1">
      <c r="A49" s="17" t="s">
        <v>326</v>
      </c>
      <c r="B49" s="64" t="s">
        <v>433</v>
      </c>
      <c r="C49" s="82" t="s">
        <v>143</v>
      </c>
      <c r="D49" s="6">
        <v>0.5</v>
      </c>
      <c r="E49" s="6">
        <v>0.3</v>
      </c>
      <c r="F49" s="5">
        <v>0</v>
      </c>
      <c r="G49" s="5">
        <f t="shared" si="7"/>
        <v>0</v>
      </c>
      <c r="H49" s="5">
        <f t="shared" si="5"/>
        <v>-0.5</v>
      </c>
      <c r="I49" s="6">
        <f t="shared" si="6"/>
        <v>0</v>
      </c>
      <c r="J49" s="2"/>
      <c r="L49" s="37"/>
    </row>
    <row r="50" spans="1:12" ht="60" customHeight="1">
      <c r="A50" s="17" t="s">
        <v>326</v>
      </c>
      <c r="B50" s="64" t="s">
        <v>369</v>
      </c>
      <c r="C50" s="82" t="s">
        <v>144</v>
      </c>
      <c r="D50" s="6">
        <v>30</v>
      </c>
      <c r="E50" s="6">
        <v>56.5</v>
      </c>
      <c r="F50" s="5">
        <v>6.14085</v>
      </c>
      <c r="G50" s="5">
        <f t="shared" si="7"/>
        <v>6.14085</v>
      </c>
      <c r="H50" s="5">
        <f t="shared" si="5"/>
        <v>-23.85915</v>
      </c>
      <c r="I50" s="6">
        <f t="shared" si="6"/>
        <v>20.4695</v>
      </c>
      <c r="J50" s="2"/>
      <c r="L50" s="37"/>
    </row>
    <row r="51" spans="1:12" ht="48.75" customHeight="1">
      <c r="A51" s="17" t="s">
        <v>326</v>
      </c>
      <c r="B51" s="64" t="s">
        <v>439</v>
      </c>
      <c r="C51" s="82" t="s">
        <v>145</v>
      </c>
      <c r="D51" s="6">
        <v>165.3</v>
      </c>
      <c r="E51" s="6">
        <v>50.6</v>
      </c>
      <c r="F51" s="5">
        <v>57.46821</v>
      </c>
      <c r="G51" s="5">
        <f t="shared" si="7"/>
        <v>57.46821</v>
      </c>
      <c r="H51" s="5">
        <f t="shared" si="5"/>
        <v>-107.83179000000001</v>
      </c>
      <c r="I51" s="6">
        <f t="shared" si="6"/>
        <v>34.76600725952812</v>
      </c>
      <c r="J51" s="2"/>
      <c r="L51" s="37"/>
    </row>
    <row r="52" spans="1:12" ht="31.5">
      <c r="A52" s="17" t="s">
        <v>326</v>
      </c>
      <c r="B52" s="64" t="s">
        <v>459</v>
      </c>
      <c r="C52" s="82" t="s">
        <v>146</v>
      </c>
      <c r="D52" s="6">
        <v>215</v>
      </c>
      <c r="E52" s="6">
        <v>34.9</v>
      </c>
      <c r="F52" s="5">
        <v>54.25772</v>
      </c>
      <c r="G52" s="5">
        <f t="shared" si="7"/>
        <v>54.25772</v>
      </c>
      <c r="H52" s="5">
        <f t="shared" si="5"/>
        <v>-160.74228</v>
      </c>
      <c r="I52" s="6">
        <f t="shared" si="6"/>
        <v>25.236148837209306</v>
      </c>
      <c r="J52" s="2"/>
      <c r="K52" s="2"/>
      <c r="L52" s="2"/>
    </row>
    <row r="53" spans="1:12" ht="18.75" customHeight="1">
      <c r="A53" s="17" t="s">
        <v>326</v>
      </c>
      <c r="B53" s="64" t="s">
        <v>14</v>
      </c>
      <c r="C53" s="83" t="s">
        <v>147</v>
      </c>
      <c r="D53" s="6">
        <v>220</v>
      </c>
      <c r="E53" s="6"/>
      <c r="F53" s="5">
        <v>48.85973</v>
      </c>
      <c r="G53" s="5"/>
      <c r="H53" s="5">
        <f t="shared" si="5"/>
        <v>-171.14027</v>
      </c>
      <c r="I53" s="6">
        <f t="shared" si="6"/>
        <v>22.208968181818182</v>
      </c>
      <c r="J53" s="2"/>
      <c r="K53" s="2"/>
      <c r="L53" s="2"/>
    </row>
    <row r="54" spans="1:12" ht="31.5">
      <c r="A54" s="17"/>
      <c r="B54" s="79" t="s">
        <v>441</v>
      </c>
      <c r="C54" s="63" t="s">
        <v>103</v>
      </c>
      <c r="D54" s="6">
        <f>SUM(D55:D61)</f>
        <v>24866.9</v>
      </c>
      <c r="E54" s="6">
        <f>SUM(E55:E61)</f>
        <v>1842.6999999999998</v>
      </c>
      <c r="F54" s="6">
        <f>SUM(F55:F61)</f>
        <v>7688.1674</v>
      </c>
      <c r="G54" s="6">
        <f>SUM(G55:G59)</f>
        <v>7505.05994</v>
      </c>
      <c r="H54" s="5">
        <f t="shared" si="5"/>
        <v>-17178.732600000003</v>
      </c>
      <c r="I54" s="6">
        <f t="shared" si="6"/>
        <v>30.91727316231617</v>
      </c>
      <c r="J54" s="2"/>
      <c r="L54" s="38"/>
    </row>
    <row r="55" spans="1:12" ht="19.5" customHeight="1">
      <c r="A55" s="17" t="s">
        <v>304</v>
      </c>
      <c r="B55" s="64" t="s">
        <v>351</v>
      </c>
      <c r="C55" s="55" t="s">
        <v>148</v>
      </c>
      <c r="D55" s="6">
        <v>300</v>
      </c>
      <c r="E55" s="6">
        <v>73.9</v>
      </c>
      <c r="F55" s="5">
        <v>88.01848</v>
      </c>
      <c r="G55" s="5">
        <f aca="true" t="shared" si="8" ref="G55:G60">F55-L54</f>
        <v>88.01848</v>
      </c>
      <c r="H55" s="5">
        <f t="shared" si="5"/>
        <v>-211.98152</v>
      </c>
      <c r="I55" s="6">
        <f t="shared" si="6"/>
        <v>29.339493333333333</v>
      </c>
      <c r="J55" s="2"/>
      <c r="L55" s="37"/>
    </row>
    <row r="56" spans="1:12" ht="19.5" customHeight="1">
      <c r="A56" s="17" t="s">
        <v>304</v>
      </c>
      <c r="B56" s="64" t="s">
        <v>352</v>
      </c>
      <c r="C56" s="55" t="s">
        <v>149</v>
      </c>
      <c r="D56" s="6">
        <v>4320</v>
      </c>
      <c r="E56" s="6">
        <v>616.3</v>
      </c>
      <c r="F56" s="5">
        <v>1341.18255</v>
      </c>
      <c r="G56" s="5">
        <f t="shared" si="8"/>
        <v>1341.18255</v>
      </c>
      <c r="H56" s="5">
        <f t="shared" si="5"/>
        <v>-2978.81745</v>
      </c>
      <c r="I56" s="6">
        <f t="shared" si="6"/>
        <v>31.04589236111111</v>
      </c>
      <c r="J56" s="2"/>
      <c r="L56" s="37"/>
    </row>
    <row r="57" spans="1:12" ht="18.75" customHeight="1">
      <c r="A57" s="17" t="s">
        <v>304</v>
      </c>
      <c r="B57" s="64" t="s">
        <v>353</v>
      </c>
      <c r="C57" s="55" t="s">
        <v>150</v>
      </c>
      <c r="D57" s="6">
        <v>15485.2</v>
      </c>
      <c r="E57" s="6">
        <v>640.5</v>
      </c>
      <c r="F57" s="5">
        <v>4701.98985</v>
      </c>
      <c r="G57" s="5">
        <f t="shared" si="8"/>
        <v>4701.98985</v>
      </c>
      <c r="H57" s="5">
        <f t="shared" si="5"/>
        <v>-10783.21015</v>
      </c>
      <c r="I57" s="6">
        <f t="shared" si="6"/>
        <v>30.364411502596024</v>
      </c>
      <c r="J57" s="2"/>
      <c r="L57" s="37"/>
    </row>
    <row r="58" spans="1:12" ht="31.5">
      <c r="A58" s="17" t="s">
        <v>304</v>
      </c>
      <c r="B58" s="64" t="s">
        <v>354</v>
      </c>
      <c r="C58" s="55" t="s">
        <v>151</v>
      </c>
      <c r="D58" s="6">
        <v>1800</v>
      </c>
      <c r="E58" s="6">
        <v>137.2</v>
      </c>
      <c r="F58" s="5">
        <v>566.86193</v>
      </c>
      <c r="G58" s="5">
        <f t="shared" si="8"/>
        <v>566.86193</v>
      </c>
      <c r="H58" s="5">
        <f t="shared" si="5"/>
        <v>-1233.13807</v>
      </c>
      <c r="I58" s="6">
        <f t="shared" si="6"/>
        <v>31.492329444444444</v>
      </c>
      <c r="J58" s="2"/>
      <c r="L58" s="37"/>
    </row>
    <row r="59" spans="1:12" ht="18.75" customHeight="1">
      <c r="A59" s="17" t="s">
        <v>304</v>
      </c>
      <c r="B59" s="64" t="s">
        <v>355</v>
      </c>
      <c r="C59" s="55" t="s">
        <v>152</v>
      </c>
      <c r="D59" s="6">
        <v>2400</v>
      </c>
      <c r="E59" s="6">
        <v>336.9</v>
      </c>
      <c r="F59" s="5">
        <v>807.00713</v>
      </c>
      <c r="G59" s="5">
        <f t="shared" si="8"/>
        <v>807.00713</v>
      </c>
      <c r="H59" s="5">
        <f t="shared" si="5"/>
        <v>-1592.99287</v>
      </c>
      <c r="I59" s="6">
        <f t="shared" si="6"/>
        <v>33.625297083333336</v>
      </c>
      <c r="J59" s="2"/>
      <c r="L59" s="37"/>
    </row>
    <row r="60" spans="1:12" ht="20.25" customHeight="1">
      <c r="A60" s="17" t="s">
        <v>304</v>
      </c>
      <c r="B60" s="64" t="s">
        <v>436</v>
      </c>
      <c r="C60" s="55" t="s">
        <v>153</v>
      </c>
      <c r="D60" s="6">
        <v>530.9</v>
      </c>
      <c r="E60" s="6">
        <v>37.9</v>
      </c>
      <c r="F60" s="5">
        <v>166.89578</v>
      </c>
      <c r="G60" s="5">
        <f t="shared" si="8"/>
        <v>166.89578</v>
      </c>
      <c r="H60" s="5">
        <f t="shared" si="5"/>
        <v>-364.00422</v>
      </c>
      <c r="I60" s="6">
        <f t="shared" si="6"/>
        <v>31.436387266905257</v>
      </c>
      <c r="J60" s="2"/>
      <c r="L60" s="37"/>
    </row>
    <row r="61" spans="1:12" ht="17.25" customHeight="1">
      <c r="A61" s="17" t="s">
        <v>304</v>
      </c>
      <c r="B61" s="64" t="s">
        <v>13</v>
      </c>
      <c r="C61" s="55" t="s">
        <v>154</v>
      </c>
      <c r="D61" s="6">
        <v>30.8</v>
      </c>
      <c r="E61" s="6"/>
      <c r="F61" s="5">
        <v>16.21168</v>
      </c>
      <c r="G61" s="5"/>
      <c r="H61" s="5">
        <f t="shared" si="5"/>
        <v>-14.58832</v>
      </c>
      <c r="I61" s="6">
        <f t="shared" si="6"/>
        <v>52.63532467532468</v>
      </c>
      <c r="J61" s="2"/>
      <c r="L61" s="37"/>
    </row>
    <row r="62" spans="1:12" ht="18" customHeight="1">
      <c r="A62" s="17"/>
      <c r="B62" s="64" t="s">
        <v>461</v>
      </c>
      <c r="C62" s="63" t="s">
        <v>104</v>
      </c>
      <c r="D62" s="6">
        <f>D63+D64+D66+D85+D88+D91+D68+D89+D90+D67+D83+D65+D84+D86+D87</f>
        <v>2595.71542</v>
      </c>
      <c r="E62" s="6">
        <f>E63+E64+E66+E85+E88+E91+E68+E89+E90+E67+E83+E65+E84+E86+E87</f>
        <v>949.1999999999999</v>
      </c>
      <c r="F62" s="6">
        <f>F63+F64+F66+F85+F88+F91+F68+F89+F90+F67+F83+F65+F84+F86+F87</f>
        <v>891.99343</v>
      </c>
      <c r="G62" s="6">
        <f>G63+G64+G66+G85+G88+G91+G68+G89+G90+G67+G83</f>
        <v>815.7912299999999</v>
      </c>
      <c r="H62" s="5">
        <f t="shared" si="5"/>
        <v>-1703.72199</v>
      </c>
      <c r="I62" s="6">
        <f t="shared" si="6"/>
        <v>34.36406869286156</v>
      </c>
      <c r="J62" s="2"/>
      <c r="L62" s="37"/>
    </row>
    <row r="63" spans="1:12" ht="30.75" customHeight="1">
      <c r="A63" s="17" t="s">
        <v>304</v>
      </c>
      <c r="B63" s="64" t="s">
        <v>305</v>
      </c>
      <c r="C63" s="55" t="s">
        <v>155</v>
      </c>
      <c r="D63" s="6">
        <v>768.7</v>
      </c>
      <c r="E63" s="6">
        <v>256.9</v>
      </c>
      <c r="F63" s="5">
        <v>380.2579</v>
      </c>
      <c r="G63" s="5">
        <f>F63-L62</f>
        <v>380.2579</v>
      </c>
      <c r="H63" s="5">
        <f t="shared" si="5"/>
        <v>-388.44210000000004</v>
      </c>
      <c r="I63" s="6">
        <f t="shared" si="6"/>
        <v>49.467659685182774</v>
      </c>
      <c r="J63" s="2"/>
      <c r="L63" s="37"/>
    </row>
    <row r="64" spans="1:12" ht="48" customHeight="1">
      <c r="A64" s="17" t="s">
        <v>303</v>
      </c>
      <c r="B64" s="64" t="s">
        <v>336</v>
      </c>
      <c r="C64" s="55" t="s">
        <v>156</v>
      </c>
      <c r="D64" s="6">
        <v>520</v>
      </c>
      <c r="E64" s="6">
        <v>28.4</v>
      </c>
      <c r="F64" s="5">
        <v>147.91035</v>
      </c>
      <c r="G64" s="5">
        <f>F64-L63</f>
        <v>147.91035</v>
      </c>
      <c r="H64" s="5">
        <f t="shared" si="5"/>
        <v>-372.08965</v>
      </c>
      <c r="I64" s="6">
        <f t="shared" si="6"/>
        <v>28.444298076923076</v>
      </c>
      <c r="J64" s="2"/>
      <c r="L64" s="2"/>
    </row>
    <row r="65" spans="1:12" ht="47.25">
      <c r="A65" s="17"/>
      <c r="B65" s="64" t="s">
        <v>41</v>
      </c>
      <c r="C65" s="55" t="s">
        <v>157</v>
      </c>
      <c r="D65" s="6">
        <v>0.6</v>
      </c>
      <c r="E65" s="6"/>
      <c r="F65" s="6">
        <v>0</v>
      </c>
      <c r="G65" s="5"/>
      <c r="H65" s="5">
        <f t="shared" si="5"/>
        <v>-0.6</v>
      </c>
      <c r="I65" s="6">
        <f t="shared" si="6"/>
        <v>0</v>
      </c>
      <c r="J65" s="2"/>
      <c r="L65" s="2"/>
    </row>
    <row r="66" spans="1:12" ht="34.5" customHeight="1">
      <c r="A66" s="17" t="s">
        <v>308</v>
      </c>
      <c r="B66" s="64" t="s">
        <v>309</v>
      </c>
      <c r="C66" s="74" t="s">
        <v>158</v>
      </c>
      <c r="D66" s="6">
        <v>969.13942</v>
      </c>
      <c r="E66" s="6">
        <v>605.1</v>
      </c>
      <c r="F66" s="6">
        <v>221.67046</v>
      </c>
      <c r="G66" s="5">
        <f>F66-L65</f>
        <v>221.67046</v>
      </c>
      <c r="H66" s="5">
        <f t="shared" si="5"/>
        <v>-747.4689599999999</v>
      </c>
      <c r="I66" s="6">
        <f t="shared" si="6"/>
        <v>22.872917500353047</v>
      </c>
      <c r="J66" s="2"/>
      <c r="L66" s="39"/>
    </row>
    <row r="67" spans="1:12" ht="31.5">
      <c r="A67" s="17" t="s">
        <v>308</v>
      </c>
      <c r="B67" s="64" t="s">
        <v>309</v>
      </c>
      <c r="C67" s="74" t="s">
        <v>159</v>
      </c>
      <c r="D67" s="6">
        <v>37.486</v>
      </c>
      <c r="E67" s="6"/>
      <c r="F67" s="6">
        <v>35.1975</v>
      </c>
      <c r="G67" s="5"/>
      <c r="H67" s="5">
        <f t="shared" si="5"/>
        <v>-2.288499999999999</v>
      </c>
      <c r="I67" s="6">
        <f t="shared" si="6"/>
        <v>93.89505415355066</v>
      </c>
      <c r="J67" s="2"/>
      <c r="L67" s="39"/>
    </row>
    <row r="68" spans="1:12" ht="33" customHeight="1">
      <c r="A68" s="17" t="s">
        <v>308</v>
      </c>
      <c r="B68" s="64" t="s">
        <v>309</v>
      </c>
      <c r="C68" s="74" t="s">
        <v>160</v>
      </c>
      <c r="D68" s="6">
        <v>90</v>
      </c>
      <c r="E68" s="6">
        <v>13</v>
      </c>
      <c r="F68" s="5">
        <v>22.46548</v>
      </c>
      <c r="G68" s="5">
        <f>F68-L66</f>
        <v>22.46548</v>
      </c>
      <c r="H68" s="5">
        <f t="shared" si="5"/>
        <v>-67.53452</v>
      </c>
      <c r="I68" s="6">
        <f t="shared" si="6"/>
        <v>24.961644444444445</v>
      </c>
      <c r="J68" s="2"/>
      <c r="L68" s="39"/>
    </row>
    <row r="69" spans="1:12" ht="30" customHeight="1" hidden="1">
      <c r="A69" s="17" t="s">
        <v>308</v>
      </c>
      <c r="B69" s="64" t="s">
        <v>309</v>
      </c>
      <c r="C69" s="74" t="s">
        <v>77</v>
      </c>
      <c r="D69" s="6"/>
      <c r="E69" s="6">
        <v>13</v>
      </c>
      <c r="F69" s="5"/>
      <c r="G69" s="5">
        <f aca="true" t="shared" si="9" ref="G69:G82">F69-L68</f>
        <v>0</v>
      </c>
      <c r="H69" s="5">
        <f t="shared" si="5"/>
        <v>0</v>
      </c>
      <c r="I69" s="6" t="e">
        <f t="shared" si="6"/>
        <v>#DIV/0!</v>
      </c>
      <c r="J69" s="2"/>
      <c r="L69" s="39"/>
    </row>
    <row r="70" spans="1:12" ht="30.75" customHeight="1" hidden="1">
      <c r="A70" s="17" t="s">
        <v>308</v>
      </c>
      <c r="B70" s="64" t="s">
        <v>309</v>
      </c>
      <c r="C70" s="74" t="s">
        <v>410</v>
      </c>
      <c r="D70" s="6"/>
      <c r="E70" s="6">
        <v>5</v>
      </c>
      <c r="F70" s="5"/>
      <c r="G70" s="5">
        <f t="shared" si="9"/>
        <v>0</v>
      </c>
      <c r="H70" s="5">
        <f t="shared" si="5"/>
        <v>0</v>
      </c>
      <c r="I70" s="6" t="e">
        <f t="shared" si="6"/>
        <v>#DIV/0!</v>
      </c>
      <c r="J70" s="2"/>
      <c r="L70" s="39"/>
    </row>
    <row r="71" spans="1:12" ht="31.5" customHeight="1" hidden="1">
      <c r="A71" s="17" t="s">
        <v>308</v>
      </c>
      <c r="B71" s="64" t="s">
        <v>309</v>
      </c>
      <c r="C71" s="74" t="s">
        <v>386</v>
      </c>
      <c r="D71" s="6"/>
      <c r="E71" s="6">
        <v>3</v>
      </c>
      <c r="F71" s="5"/>
      <c r="G71" s="5">
        <f t="shared" si="9"/>
        <v>0</v>
      </c>
      <c r="H71" s="5">
        <f t="shared" si="5"/>
        <v>0</v>
      </c>
      <c r="I71" s="6" t="e">
        <f t="shared" si="6"/>
        <v>#DIV/0!</v>
      </c>
      <c r="J71" s="2"/>
      <c r="L71" s="39"/>
    </row>
    <row r="72" spans="1:12" ht="33" customHeight="1" hidden="1">
      <c r="A72" s="17" t="s">
        <v>308</v>
      </c>
      <c r="B72" s="64" t="s">
        <v>309</v>
      </c>
      <c r="C72" s="74" t="s">
        <v>381</v>
      </c>
      <c r="D72" s="6"/>
      <c r="E72" s="6">
        <v>5</v>
      </c>
      <c r="F72" s="5"/>
      <c r="G72" s="5">
        <f t="shared" si="9"/>
        <v>0</v>
      </c>
      <c r="H72" s="5">
        <f t="shared" si="5"/>
        <v>0</v>
      </c>
      <c r="I72" s="6" t="e">
        <f t="shared" si="6"/>
        <v>#DIV/0!</v>
      </c>
      <c r="J72" s="2"/>
      <c r="L72" s="39"/>
    </row>
    <row r="73" spans="1:12" ht="29.25" customHeight="1" hidden="1">
      <c r="A73" s="17" t="s">
        <v>308</v>
      </c>
      <c r="B73" s="64" t="s">
        <v>309</v>
      </c>
      <c r="C73" s="74" t="s">
        <v>403</v>
      </c>
      <c r="D73" s="6"/>
      <c r="E73" s="6">
        <v>5</v>
      </c>
      <c r="F73" s="5"/>
      <c r="G73" s="5">
        <f t="shared" si="9"/>
        <v>0</v>
      </c>
      <c r="H73" s="5">
        <f t="shared" si="5"/>
        <v>0</v>
      </c>
      <c r="I73" s="6" t="e">
        <f t="shared" si="6"/>
        <v>#DIV/0!</v>
      </c>
      <c r="J73" s="2"/>
      <c r="L73" s="39"/>
    </row>
    <row r="74" spans="1:12" ht="31.5" customHeight="1" hidden="1">
      <c r="A74" s="17" t="s">
        <v>308</v>
      </c>
      <c r="B74" s="64" t="s">
        <v>309</v>
      </c>
      <c r="C74" s="74" t="s">
        <v>379</v>
      </c>
      <c r="D74" s="6"/>
      <c r="E74" s="6">
        <v>45</v>
      </c>
      <c r="F74" s="5"/>
      <c r="G74" s="5">
        <f t="shared" si="9"/>
        <v>0</v>
      </c>
      <c r="H74" s="5">
        <f t="shared" si="5"/>
        <v>0</v>
      </c>
      <c r="I74" s="6" t="e">
        <f t="shared" si="6"/>
        <v>#DIV/0!</v>
      </c>
      <c r="J74" s="2"/>
      <c r="L74" s="39"/>
    </row>
    <row r="75" spans="1:12" ht="30" customHeight="1" hidden="1">
      <c r="A75" s="17" t="s">
        <v>308</v>
      </c>
      <c r="B75" s="64" t="s">
        <v>309</v>
      </c>
      <c r="C75" s="74" t="s">
        <v>390</v>
      </c>
      <c r="D75" s="6"/>
      <c r="E75" s="6">
        <v>36</v>
      </c>
      <c r="F75" s="5"/>
      <c r="G75" s="5">
        <f t="shared" si="9"/>
        <v>0</v>
      </c>
      <c r="H75" s="5">
        <f t="shared" si="5"/>
        <v>0</v>
      </c>
      <c r="I75" s="6" t="e">
        <f t="shared" si="6"/>
        <v>#DIV/0!</v>
      </c>
      <c r="J75" s="2"/>
      <c r="L75" s="39"/>
    </row>
    <row r="76" spans="1:12" ht="33.75" customHeight="1" hidden="1">
      <c r="A76" s="17" t="s">
        <v>308</v>
      </c>
      <c r="B76" s="64" t="s">
        <v>309</v>
      </c>
      <c r="C76" s="74" t="s">
        <v>380</v>
      </c>
      <c r="D76" s="6"/>
      <c r="E76" s="6">
        <v>4.5</v>
      </c>
      <c r="F76" s="5"/>
      <c r="G76" s="5">
        <f t="shared" si="9"/>
        <v>0</v>
      </c>
      <c r="H76" s="5">
        <f t="shared" si="5"/>
        <v>0</v>
      </c>
      <c r="I76" s="6" t="e">
        <f t="shared" si="6"/>
        <v>#DIV/0!</v>
      </c>
      <c r="J76" s="2"/>
      <c r="L76" s="39"/>
    </row>
    <row r="77" spans="1:12" ht="33" customHeight="1" hidden="1">
      <c r="A77" s="17" t="s">
        <v>308</v>
      </c>
      <c r="B77" s="64" t="s">
        <v>309</v>
      </c>
      <c r="C77" s="63" t="s">
        <v>411</v>
      </c>
      <c r="D77" s="6"/>
      <c r="E77" s="6">
        <v>6</v>
      </c>
      <c r="F77" s="5"/>
      <c r="G77" s="5">
        <f t="shared" si="9"/>
        <v>0</v>
      </c>
      <c r="H77" s="5">
        <f t="shared" si="5"/>
        <v>0</v>
      </c>
      <c r="I77" s="6" t="e">
        <f t="shared" si="6"/>
        <v>#DIV/0!</v>
      </c>
      <c r="J77" s="2"/>
      <c r="L77" s="39"/>
    </row>
    <row r="78" spans="1:12" ht="33.75" customHeight="1" hidden="1">
      <c r="A78" s="17" t="s">
        <v>308</v>
      </c>
      <c r="B78" s="64" t="s">
        <v>309</v>
      </c>
      <c r="C78" s="74" t="s">
        <v>378</v>
      </c>
      <c r="D78" s="6"/>
      <c r="E78" s="6">
        <v>15</v>
      </c>
      <c r="F78" s="5"/>
      <c r="G78" s="5">
        <f t="shared" si="9"/>
        <v>0</v>
      </c>
      <c r="H78" s="5">
        <f t="shared" si="5"/>
        <v>0</v>
      </c>
      <c r="I78" s="6" t="e">
        <f t="shared" si="6"/>
        <v>#DIV/0!</v>
      </c>
      <c r="J78" s="2"/>
      <c r="L78" s="39"/>
    </row>
    <row r="79" spans="1:12" ht="36.75" customHeight="1" hidden="1">
      <c r="A79" s="17" t="s">
        <v>308</v>
      </c>
      <c r="B79" s="64" t="s">
        <v>309</v>
      </c>
      <c r="C79" s="74" t="s">
        <v>408</v>
      </c>
      <c r="D79" s="6"/>
      <c r="E79" s="6">
        <v>70</v>
      </c>
      <c r="F79" s="5"/>
      <c r="G79" s="5">
        <f t="shared" si="9"/>
        <v>0</v>
      </c>
      <c r="H79" s="5">
        <f t="shared" si="5"/>
        <v>0</v>
      </c>
      <c r="I79" s="6" t="e">
        <f t="shared" si="6"/>
        <v>#DIV/0!</v>
      </c>
      <c r="J79" s="2"/>
      <c r="L79" s="39"/>
    </row>
    <row r="80" spans="1:12" ht="39" customHeight="1" hidden="1">
      <c r="A80" s="17" t="s">
        <v>308</v>
      </c>
      <c r="B80" s="64" t="s">
        <v>309</v>
      </c>
      <c r="C80" s="74" t="s">
        <v>407</v>
      </c>
      <c r="D80" s="6"/>
      <c r="E80" s="6">
        <v>40</v>
      </c>
      <c r="F80" s="5"/>
      <c r="G80" s="5">
        <f t="shared" si="9"/>
        <v>0</v>
      </c>
      <c r="H80" s="5">
        <f t="shared" si="5"/>
        <v>0</v>
      </c>
      <c r="I80" s="6" t="e">
        <f t="shared" si="6"/>
        <v>#DIV/0!</v>
      </c>
      <c r="J80" s="2"/>
      <c r="L80" s="39"/>
    </row>
    <row r="81" spans="1:12" ht="42.75" customHeight="1" hidden="1">
      <c r="A81" s="17" t="s">
        <v>308</v>
      </c>
      <c r="B81" s="64" t="s">
        <v>309</v>
      </c>
      <c r="C81" s="74" t="s">
        <v>385</v>
      </c>
      <c r="D81" s="6"/>
      <c r="E81" s="6">
        <v>6</v>
      </c>
      <c r="F81" s="5"/>
      <c r="G81" s="5">
        <f t="shared" si="9"/>
        <v>0</v>
      </c>
      <c r="H81" s="5">
        <f t="shared" si="5"/>
        <v>0</v>
      </c>
      <c r="I81" s="6" t="e">
        <f t="shared" si="6"/>
        <v>#DIV/0!</v>
      </c>
      <c r="J81" s="2"/>
      <c r="L81" s="39"/>
    </row>
    <row r="82" spans="1:12" ht="44.25" customHeight="1" hidden="1">
      <c r="A82" s="17" t="s">
        <v>308</v>
      </c>
      <c r="B82" s="64" t="s">
        <v>309</v>
      </c>
      <c r="C82" s="63" t="s">
        <v>409</v>
      </c>
      <c r="D82" s="6"/>
      <c r="E82" s="6">
        <v>20</v>
      </c>
      <c r="F82" s="5"/>
      <c r="G82" s="5">
        <f t="shared" si="9"/>
        <v>0</v>
      </c>
      <c r="H82" s="5">
        <f t="shared" si="5"/>
        <v>0</v>
      </c>
      <c r="I82" s="6" t="e">
        <f t="shared" si="6"/>
        <v>#DIV/0!</v>
      </c>
      <c r="J82" s="2"/>
      <c r="L82" s="37"/>
    </row>
    <row r="83" spans="1:12" ht="47.25">
      <c r="A83" s="17"/>
      <c r="B83" s="64" t="s">
        <v>18</v>
      </c>
      <c r="C83" s="63" t="s">
        <v>61</v>
      </c>
      <c r="D83" s="6">
        <v>20</v>
      </c>
      <c r="E83" s="6"/>
      <c r="F83" s="5">
        <v>2.86778</v>
      </c>
      <c r="G83" s="5"/>
      <c r="H83" s="5">
        <f t="shared" si="5"/>
        <v>-17.13222</v>
      </c>
      <c r="I83" s="6">
        <f t="shared" si="6"/>
        <v>14.338900000000002</v>
      </c>
      <c r="J83" s="2"/>
      <c r="L83" s="37"/>
    </row>
    <row r="84" spans="1:12" ht="46.5" customHeight="1">
      <c r="A84" s="17"/>
      <c r="B84" s="64" t="s">
        <v>18</v>
      </c>
      <c r="C84" s="63" t="s">
        <v>162</v>
      </c>
      <c r="D84" s="6">
        <v>10</v>
      </c>
      <c r="E84" s="6"/>
      <c r="F84" s="5">
        <v>2</v>
      </c>
      <c r="G84" s="5"/>
      <c r="H84" s="5">
        <f t="shared" si="5"/>
        <v>-8</v>
      </c>
      <c r="I84" s="6">
        <f t="shared" si="6"/>
        <v>20</v>
      </c>
      <c r="J84" s="2"/>
      <c r="L84" s="37"/>
    </row>
    <row r="85" spans="1:12" ht="31.5" hidden="1">
      <c r="A85" s="17" t="s">
        <v>306</v>
      </c>
      <c r="B85" s="64" t="s">
        <v>307</v>
      </c>
      <c r="C85" s="74" t="s">
        <v>468</v>
      </c>
      <c r="D85" s="6">
        <v>0</v>
      </c>
      <c r="E85" s="6">
        <v>2.4</v>
      </c>
      <c r="F85" s="5">
        <v>0</v>
      </c>
      <c r="G85" s="5">
        <f>F85-L82</f>
        <v>0</v>
      </c>
      <c r="H85" s="5">
        <f t="shared" si="5"/>
        <v>0</v>
      </c>
      <c r="I85" s="6" t="e">
        <f t="shared" si="6"/>
        <v>#DIV/0!</v>
      </c>
      <c r="J85" s="2"/>
      <c r="L85" s="37"/>
    </row>
    <row r="86" spans="1:12" ht="47.25" hidden="1">
      <c r="A86" s="17"/>
      <c r="B86" s="64" t="s">
        <v>18</v>
      </c>
      <c r="C86" s="74" t="s">
        <v>163</v>
      </c>
      <c r="D86" s="6">
        <v>0</v>
      </c>
      <c r="E86" s="6"/>
      <c r="F86" s="5">
        <v>0</v>
      </c>
      <c r="G86" s="5"/>
      <c r="H86" s="5">
        <f t="shared" si="5"/>
        <v>0</v>
      </c>
      <c r="I86" s="6" t="e">
        <f t="shared" si="6"/>
        <v>#DIV/0!</v>
      </c>
      <c r="J86" s="2"/>
      <c r="L86" s="37"/>
    </row>
    <row r="87" spans="1:12" ht="31.5">
      <c r="A87" s="17"/>
      <c r="B87" s="64" t="s">
        <v>85</v>
      </c>
      <c r="C87" s="74" t="s">
        <v>164</v>
      </c>
      <c r="D87" s="6">
        <v>49.6</v>
      </c>
      <c r="E87" s="6"/>
      <c r="F87" s="5">
        <v>19.69692</v>
      </c>
      <c r="G87" s="5"/>
      <c r="H87" s="5">
        <f t="shared" si="5"/>
        <v>-29.903080000000003</v>
      </c>
      <c r="I87" s="6">
        <f t="shared" si="6"/>
        <v>39.711532258064516</v>
      </c>
      <c r="J87" s="2"/>
      <c r="L87" s="37"/>
    </row>
    <row r="88" spans="1:12" ht="31.5">
      <c r="A88" s="17" t="s">
        <v>308</v>
      </c>
      <c r="B88" s="64" t="s">
        <v>337</v>
      </c>
      <c r="C88" s="74" t="s">
        <v>26</v>
      </c>
      <c r="D88" s="6">
        <v>86.65</v>
      </c>
      <c r="E88" s="6">
        <v>38.3</v>
      </c>
      <c r="F88" s="5">
        <v>39.8162</v>
      </c>
      <c r="G88" s="5">
        <f>F88-L85</f>
        <v>39.8162</v>
      </c>
      <c r="H88" s="5">
        <f t="shared" si="5"/>
        <v>-46.833800000000004</v>
      </c>
      <c r="I88" s="6">
        <f t="shared" si="6"/>
        <v>45.95060588574726</v>
      </c>
      <c r="J88" s="2"/>
      <c r="L88" s="37"/>
    </row>
    <row r="89" spans="1:12" ht="63" hidden="1">
      <c r="A89" s="17"/>
      <c r="B89" s="64" t="s">
        <v>337</v>
      </c>
      <c r="C89" s="74" t="s">
        <v>8</v>
      </c>
      <c r="D89" s="6">
        <v>0</v>
      </c>
      <c r="E89" s="6"/>
      <c r="F89" s="5">
        <v>0</v>
      </c>
      <c r="G89" s="5"/>
      <c r="H89" s="5">
        <f t="shared" si="5"/>
        <v>0</v>
      </c>
      <c r="I89" s="6" t="e">
        <f t="shared" si="6"/>
        <v>#DIV/0!</v>
      </c>
      <c r="J89" s="2"/>
      <c r="L89" s="37"/>
    </row>
    <row r="90" spans="1:12" ht="31.5">
      <c r="A90" s="17" t="s">
        <v>308</v>
      </c>
      <c r="B90" s="64" t="s">
        <v>337</v>
      </c>
      <c r="C90" s="74" t="s">
        <v>165</v>
      </c>
      <c r="D90" s="6">
        <v>24.24</v>
      </c>
      <c r="E90" s="6"/>
      <c r="F90" s="5">
        <v>16.44</v>
      </c>
      <c r="G90" s="5"/>
      <c r="H90" s="5">
        <f t="shared" si="5"/>
        <v>-7.799999999999997</v>
      </c>
      <c r="I90" s="6">
        <f t="shared" si="6"/>
        <v>67.82178217821783</v>
      </c>
      <c r="J90" s="2"/>
      <c r="L90" s="37"/>
    </row>
    <row r="91" spans="1:12" ht="33.75" customHeight="1">
      <c r="A91" s="17" t="s">
        <v>308</v>
      </c>
      <c r="B91" s="72" t="s">
        <v>412</v>
      </c>
      <c r="C91" s="63" t="s">
        <v>166</v>
      </c>
      <c r="D91" s="6">
        <v>19.3</v>
      </c>
      <c r="E91" s="6">
        <v>5.1</v>
      </c>
      <c r="F91" s="5">
        <v>3.67084</v>
      </c>
      <c r="G91" s="5">
        <f>F91-L88</f>
        <v>3.67084</v>
      </c>
      <c r="H91" s="5">
        <f t="shared" si="5"/>
        <v>-15.62916</v>
      </c>
      <c r="I91" s="6">
        <f t="shared" si="6"/>
        <v>19.019896373056994</v>
      </c>
      <c r="J91" s="2"/>
      <c r="L91" s="37"/>
    </row>
    <row r="92" spans="1:12" ht="67.5" customHeight="1">
      <c r="A92" s="19" t="s">
        <v>304</v>
      </c>
      <c r="B92" s="72" t="s">
        <v>19</v>
      </c>
      <c r="C92" s="55" t="s">
        <v>31</v>
      </c>
      <c r="D92" s="6">
        <v>0</v>
      </c>
      <c r="E92" s="6">
        <v>301.4</v>
      </c>
      <c r="F92" s="5">
        <v>0</v>
      </c>
      <c r="G92" s="5">
        <f>F92-L91</f>
        <v>0</v>
      </c>
      <c r="H92" s="5">
        <f t="shared" si="5"/>
        <v>0</v>
      </c>
      <c r="I92" s="6" t="e">
        <f t="shared" si="6"/>
        <v>#DIV/0!</v>
      </c>
      <c r="J92" s="2"/>
      <c r="L92" s="2"/>
    </row>
    <row r="93" spans="1:12" ht="68.25" customHeight="1" hidden="1">
      <c r="A93" s="19" t="s">
        <v>304</v>
      </c>
      <c r="B93" s="72" t="s">
        <v>19</v>
      </c>
      <c r="C93" s="55" t="s">
        <v>105</v>
      </c>
      <c r="D93" s="6"/>
      <c r="E93" s="6"/>
      <c r="F93" s="5"/>
      <c r="G93" s="5"/>
      <c r="H93" s="5">
        <f t="shared" si="5"/>
        <v>0</v>
      </c>
      <c r="I93" s="6" t="e">
        <f t="shared" si="6"/>
        <v>#DIV/0!</v>
      </c>
      <c r="J93" s="2"/>
      <c r="L93" s="2"/>
    </row>
    <row r="94" spans="1:12" ht="15.75">
      <c r="A94" s="17" t="s">
        <v>304</v>
      </c>
      <c r="B94" s="79" t="s">
        <v>442</v>
      </c>
      <c r="C94" s="74" t="s">
        <v>443</v>
      </c>
      <c r="D94" s="6">
        <f>SUM(D95:D104)</f>
        <v>689.3050000000001</v>
      </c>
      <c r="E94" s="6">
        <f>SUM(E95:E104)</f>
        <v>163.6</v>
      </c>
      <c r="F94" s="6">
        <f>SUM(F95:F104)</f>
        <v>180.58994</v>
      </c>
      <c r="G94" s="6">
        <f>SUM(G95:G104)</f>
        <v>91.21694</v>
      </c>
      <c r="H94" s="6">
        <f>SUM(H95:H104)</f>
        <v>-508.71506</v>
      </c>
      <c r="I94" s="6">
        <f>F94/D94*100</f>
        <v>26.19884376292062</v>
      </c>
      <c r="J94" s="2"/>
      <c r="L94" s="37"/>
    </row>
    <row r="95" spans="1:12" ht="33" customHeight="1">
      <c r="A95" s="17" t="s">
        <v>304</v>
      </c>
      <c r="B95" s="48" t="s">
        <v>365</v>
      </c>
      <c r="C95" s="18" t="s">
        <v>32</v>
      </c>
      <c r="D95" s="1">
        <v>331.091</v>
      </c>
      <c r="E95" s="1">
        <v>124.6</v>
      </c>
      <c r="F95" s="4">
        <v>91.21694</v>
      </c>
      <c r="G95" s="5">
        <f>F95-L94</f>
        <v>91.21694</v>
      </c>
      <c r="H95" s="4">
        <f aca="true" t="shared" si="10" ref="H95:H159">F95-D95</f>
        <v>-239.87406000000001</v>
      </c>
      <c r="I95" s="1">
        <f aca="true" t="shared" si="11" ref="I95:I159">F95/D95*100</f>
        <v>27.550413632505865</v>
      </c>
      <c r="J95" s="2"/>
      <c r="L95" s="37"/>
    </row>
    <row r="96" spans="1:12" ht="47.25" hidden="1">
      <c r="A96" s="17" t="s">
        <v>304</v>
      </c>
      <c r="B96" s="48" t="s">
        <v>344</v>
      </c>
      <c r="C96" s="18" t="s">
        <v>12</v>
      </c>
      <c r="D96" s="1">
        <v>0</v>
      </c>
      <c r="E96" s="1">
        <v>22</v>
      </c>
      <c r="F96" s="4">
        <v>0</v>
      </c>
      <c r="G96" s="5">
        <f>F96-L95</f>
        <v>0</v>
      </c>
      <c r="H96" s="4">
        <f t="shared" si="10"/>
        <v>0</v>
      </c>
      <c r="I96" s="1" t="e">
        <f t="shared" si="11"/>
        <v>#DIV/0!</v>
      </c>
      <c r="J96" s="2"/>
      <c r="L96" s="37"/>
    </row>
    <row r="97" spans="1:12" ht="0.75" customHeight="1" hidden="1">
      <c r="A97" s="17" t="s">
        <v>304</v>
      </c>
      <c r="B97" s="48" t="s">
        <v>366</v>
      </c>
      <c r="C97" s="18" t="s">
        <v>12</v>
      </c>
      <c r="D97" s="1">
        <v>0</v>
      </c>
      <c r="E97" s="1">
        <v>17</v>
      </c>
      <c r="F97" s="4">
        <v>0</v>
      </c>
      <c r="G97" s="5">
        <f>F97-L96</f>
        <v>0</v>
      </c>
      <c r="H97" s="4">
        <f t="shared" si="10"/>
        <v>0</v>
      </c>
      <c r="I97" s="1" t="e">
        <f t="shared" si="11"/>
        <v>#DIV/0!</v>
      </c>
      <c r="J97" s="2"/>
      <c r="L97" s="2"/>
    </row>
    <row r="98" spans="1:12" ht="65.25" customHeight="1">
      <c r="A98" s="17"/>
      <c r="B98" s="48" t="s">
        <v>365</v>
      </c>
      <c r="C98" s="18" t="s">
        <v>167</v>
      </c>
      <c r="D98" s="1">
        <v>287.3</v>
      </c>
      <c r="E98" s="1"/>
      <c r="F98" s="4">
        <v>84.93064</v>
      </c>
      <c r="G98" s="5"/>
      <c r="H98" s="4">
        <f t="shared" si="10"/>
        <v>-202.36936000000003</v>
      </c>
      <c r="I98" s="1">
        <f t="shared" si="11"/>
        <v>29.561656804733726</v>
      </c>
      <c r="J98" s="2"/>
      <c r="L98" s="2"/>
    </row>
    <row r="99" spans="1:12" ht="44.25" customHeight="1">
      <c r="A99" s="17"/>
      <c r="B99" s="48" t="s">
        <v>366</v>
      </c>
      <c r="C99" s="18" t="s">
        <v>168</v>
      </c>
      <c r="D99" s="1">
        <v>5.48</v>
      </c>
      <c r="E99" s="1"/>
      <c r="F99" s="5">
        <v>1.782</v>
      </c>
      <c r="G99" s="5"/>
      <c r="H99" s="4">
        <f t="shared" si="10"/>
        <v>-3.6980000000000004</v>
      </c>
      <c r="I99" s="1">
        <f t="shared" si="11"/>
        <v>32.51824817518248</v>
      </c>
      <c r="J99" s="2"/>
      <c r="L99" s="2"/>
    </row>
    <row r="100" spans="1:12" ht="49.5" customHeight="1">
      <c r="A100" s="17"/>
      <c r="B100" s="48" t="s">
        <v>366</v>
      </c>
      <c r="C100" s="18" t="s">
        <v>168</v>
      </c>
      <c r="D100" s="1">
        <v>26</v>
      </c>
      <c r="E100" s="1"/>
      <c r="F100" s="5">
        <v>1.60636</v>
      </c>
      <c r="G100" s="5"/>
      <c r="H100" s="4">
        <f t="shared" si="10"/>
        <v>-24.39364</v>
      </c>
      <c r="I100" s="1">
        <f t="shared" si="11"/>
        <v>6.178307692307692</v>
      </c>
      <c r="J100" s="2"/>
      <c r="L100" s="2"/>
    </row>
    <row r="101" spans="1:12" ht="48.75" customHeight="1">
      <c r="A101" s="17" t="s">
        <v>304</v>
      </c>
      <c r="B101" s="48" t="s">
        <v>366</v>
      </c>
      <c r="C101" s="7" t="s">
        <v>169</v>
      </c>
      <c r="D101" s="1">
        <v>35</v>
      </c>
      <c r="E101" s="1"/>
      <c r="F101" s="5">
        <v>0.62</v>
      </c>
      <c r="G101" s="5"/>
      <c r="H101" s="4">
        <f t="shared" si="10"/>
        <v>-34.38</v>
      </c>
      <c r="I101" s="1">
        <f t="shared" si="11"/>
        <v>1.7714285714285714</v>
      </c>
      <c r="J101" s="2"/>
      <c r="L101" s="2"/>
    </row>
    <row r="102" spans="1:12" ht="64.5" customHeight="1">
      <c r="A102" s="17"/>
      <c r="B102" s="48" t="s">
        <v>78</v>
      </c>
      <c r="C102" s="7" t="s">
        <v>170</v>
      </c>
      <c r="D102" s="1">
        <v>2.434</v>
      </c>
      <c r="E102" s="1"/>
      <c r="F102" s="4">
        <v>0.434</v>
      </c>
      <c r="G102" s="5"/>
      <c r="H102" s="4">
        <f t="shared" si="10"/>
        <v>-2</v>
      </c>
      <c r="I102" s="1">
        <f t="shared" si="11"/>
        <v>17.83073130649137</v>
      </c>
      <c r="J102" s="2"/>
      <c r="L102" s="2"/>
    </row>
    <row r="103" spans="1:12" ht="64.5" customHeight="1">
      <c r="A103" s="17"/>
      <c r="B103" s="48" t="s">
        <v>78</v>
      </c>
      <c r="C103" s="7" t="s">
        <v>171</v>
      </c>
      <c r="D103" s="1">
        <v>2</v>
      </c>
      <c r="E103" s="1"/>
      <c r="F103" s="4">
        <v>0</v>
      </c>
      <c r="G103" s="5"/>
      <c r="H103" s="4">
        <f t="shared" si="10"/>
        <v>-2</v>
      </c>
      <c r="I103" s="1">
        <f t="shared" si="11"/>
        <v>0</v>
      </c>
      <c r="J103" s="2"/>
      <c r="L103" s="2"/>
    </row>
    <row r="104" spans="1:12" ht="50.25" customHeight="1" hidden="1">
      <c r="A104" s="17"/>
      <c r="B104" s="48" t="s">
        <v>25</v>
      </c>
      <c r="C104" s="18" t="s">
        <v>33</v>
      </c>
      <c r="D104" s="1"/>
      <c r="E104" s="1"/>
      <c r="F104" s="4"/>
      <c r="G104" s="5"/>
      <c r="H104" s="4"/>
      <c r="I104" s="1"/>
      <c r="J104" s="2"/>
      <c r="L104" s="2"/>
    </row>
    <row r="105" spans="1:12" ht="15.75">
      <c r="A105" s="17"/>
      <c r="B105" s="64" t="s">
        <v>310</v>
      </c>
      <c r="C105" s="74" t="s">
        <v>106</v>
      </c>
      <c r="D105" s="6">
        <f>SUM(D106:D110)</f>
        <v>1899.8842200000001</v>
      </c>
      <c r="E105" s="6">
        <f>SUM(E106:E110)</f>
        <v>661.9</v>
      </c>
      <c r="F105" s="6">
        <f>SUM(F106:F110)</f>
        <v>531.88079</v>
      </c>
      <c r="G105" s="6">
        <f>SUM(G106:G110)</f>
        <v>507.74848000000003</v>
      </c>
      <c r="H105" s="5">
        <f t="shared" si="10"/>
        <v>-1368.0034300000002</v>
      </c>
      <c r="I105" s="6">
        <f t="shared" si="11"/>
        <v>27.995431742677457</v>
      </c>
      <c r="J105" s="2"/>
      <c r="L105" s="2"/>
    </row>
    <row r="106" spans="1:12" ht="65.25" customHeight="1">
      <c r="A106" s="17" t="s">
        <v>311</v>
      </c>
      <c r="B106" s="48" t="s">
        <v>312</v>
      </c>
      <c r="C106" s="18" t="s">
        <v>34</v>
      </c>
      <c r="D106" s="1">
        <v>1625.51422</v>
      </c>
      <c r="E106" s="1">
        <v>392.3</v>
      </c>
      <c r="F106" s="1">
        <v>470.34654</v>
      </c>
      <c r="G106" s="5">
        <f>F106-L105</f>
        <v>470.34654</v>
      </c>
      <c r="H106" s="4">
        <f t="shared" si="10"/>
        <v>-1155.16768</v>
      </c>
      <c r="I106" s="1">
        <f t="shared" si="11"/>
        <v>28.93524610323003</v>
      </c>
      <c r="J106" s="2"/>
      <c r="L106" s="37"/>
    </row>
    <row r="107" spans="1:12" ht="79.5" customHeight="1">
      <c r="A107" s="17" t="s">
        <v>311</v>
      </c>
      <c r="B107" s="48" t="s">
        <v>20</v>
      </c>
      <c r="C107" s="7" t="s">
        <v>172</v>
      </c>
      <c r="D107" s="1">
        <v>140</v>
      </c>
      <c r="E107" s="1"/>
      <c r="F107" s="1">
        <v>24.13231</v>
      </c>
      <c r="G107" s="5"/>
      <c r="H107" s="4">
        <f t="shared" si="10"/>
        <v>-115.86769</v>
      </c>
      <c r="I107" s="1">
        <f t="shared" si="11"/>
        <v>17.237364285714285</v>
      </c>
      <c r="J107" s="2"/>
      <c r="L107" s="37"/>
    </row>
    <row r="108" spans="1:12" ht="48" customHeight="1">
      <c r="A108" s="17" t="s">
        <v>303</v>
      </c>
      <c r="B108" s="48" t="s">
        <v>313</v>
      </c>
      <c r="C108" s="7" t="s">
        <v>173</v>
      </c>
      <c r="D108" s="1">
        <v>34.14</v>
      </c>
      <c r="E108" s="1">
        <v>3.4</v>
      </c>
      <c r="F108" s="4">
        <v>7.69999</v>
      </c>
      <c r="G108" s="5">
        <f>F108-L106</f>
        <v>7.69999</v>
      </c>
      <c r="H108" s="4">
        <f t="shared" si="10"/>
        <v>-26.44001</v>
      </c>
      <c r="I108" s="1">
        <f t="shared" si="11"/>
        <v>22.554159343878148</v>
      </c>
      <c r="J108" s="2"/>
      <c r="L108" s="2"/>
    </row>
    <row r="109" spans="1:12" ht="79.5" customHeight="1">
      <c r="A109" s="17" t="s">
        <v>301</v>
      </c>
      <c r="B109" s="48" t="s">
        <v>314</v>
      </c>
      <c r="C109" s="3" t="s">
        <v>174</v>
      </c>
      <c r="D109" s="1">
        <v>100.23</v>
      </c>
      <c r="E109" s="1">
        <v>32.8</v>
      </c>
      <c r="F109" s="1">
        <v>29.70195</v>
      </c>
      <c r="G109" s="5">
        <f>F109-L108</f>
        <v>29.70195</v>
      </c>
      <c r="H109" s="4">
        <f t="shared" si="10"/>
        <v>-70.52805000000001</v>
      </c>
      <c r="I109" s="1">
        <f t="shared" si="11"/>
        <v>29.633792277761152</v>
      </c>
      <c r="J109" s="2"/>
      <c r="L109" s="39"/>
    </row>
    <row r="110" spans="1:12" ht="31.5" hidden="1">
      <c r="A110" s="17" t="s">
        <v>308</v>
      </c>
      <c r="B110" s="48" t="s">
        <v>315</v>
      </c>
      <c r="C110" s="3" t="s">
        <v>469</v>
      </c>
      <c r="D110" s="1">
        <v>0</v>
      </c>
      <c r="E110" s="1">
        <v>233.4</v>
      </c>
      <c r="F110" s="5">
        <v>0</v>
      </c>
      <c r="G110" s="5">
        <f>F110-L109</f>
        <v>0</v>
      </c>
      <c r="H110" s="4">
        <f t="shared" si="10"/>
        <v>0</v>
      </c>
      <c r="I110" s="1" t="e">
        <f t="shared" si="11"/>
        <v>#DIV/0!</v>
      </c>
      <c r="J110" s="2"/>
      <c r="L110" s="39"/>
    </row>
    <row r="111" spans="1:12" ht="15.75">
      <c r="A111" s="17"/>
      <c r="B111" s="64" t="s">
        <v>316</v>
      </c>
      <c r="C111" s="74" t="s">
        <v>443</v>
      </c>
      <c r="D111" s="6">
        <f>D112+D113+D114</f>
        <v>2963</v>
      </c>
      <c r="E111" s="6">
        <f>E112+E113+E114</f>
        <v>409.4</v>
      </c>
      <c r="F111" s="6">
        <f>F112+F113+F114</f>
        <v>928.0941600000001</v>
      </c>
      <c r="G111" s="85">
        <f>G112+G113+G114</f>
        <v>925.4631</v>
      </c>
      <c r="H111" s="5">
        <f t="shared" si="10"/>
        <v>-2034.90584</v>
      </c>
      <c r="I111" s="6">
        <f t="shared" si="11"/>
        <v>31.32278636517044</v>
      </c>
      <c r="J111" s="2"/>
      <c r="L111" s="37"/>
    </row>
    <row r="112" spans="1:12" ht="31.5">
      <c r="A112" s="17" t="s">
        <v>306</v>
      </c>
      <c r="B112" s="64" t="s">
        <v>316</v>
      </c>
      <c r="C112" s="74" t="s">
        <v>175</v>
      </c>
      <c r="D112" s="6">
        <v>2955.6</v>
      </c>
      <c r="E112" s="6">
        <v>409.4</v>
      </c>
      <c r="F112" s="5">
        <v>925.4631</v>
      </c>
      <c r="G112" s="5">
        <f>F112-L111</f>
        <v>925.4631</v>
      </c>
      <c r="H112" s="5">
        <f t="shared" si="10"/>
        <v>-2030.1369</v>
      </c>
      <c r="I112" s="6">
        <f t="shared" si="11"/>
        <v>31.3121904181892</v>
      </c>
      <c r="J112" s="2"/>
      <c r="L112" s="37"/>
    </row>
    <row r="113" spans="1:12" ht="47.25">
      <c r="A113" s="17"/>
      <c r="B113" s="64" t="s">
        <v>462</v>
      </c>
      <c r="C113" s="74" t="s">
        <v>176</v>
      </c>
      <c r="D113" s="6">
        <v>6.32</v>
      </c>
      <c r="E113" s="6"/>
      <c r="F113" s="5">
        <v>2.63106</v>
      </c>
      <c r="G113" s="5"/>
      <c r="H113" s="5">
        <f t="shared" si="10"/>
        <v>-3.68894</v>
      </c>
      <c r="I113" s="6">
        <f t="shared" si="11"/>
        <v>41.630696202531645</v>
      </c>
      <c r="J113" s="2"/>
      <c r="L113" s="37"/>
    </row>
    <row r="114" spans="1:12" ht="33" customHeight="1">
      <c r="A114" s="17"/>
      <c r="B114" s="64" t="s">
        <v>463</v>
      </c>
      <c r="C114" s="74" t="s">
        <v>177</v>
      </c>
      <c r="D114" s="6">
        <v>1.08</v>
      </c>
      <c r="E114" s="6"/>
      <c r="F114" s="5">
        <v>0</v>
      </c>
      <c r="G114" s="5"/>
      <c r="H114" s="5">
        <f t="shared" si="10"/>
        <v>-1.08</v>
      </c>
      <c r="I114" s="6">
        <f t="shared" si="11"/>
        <v>0</v>
      </c>
      <c r="J114" s="2" t="s">
        <v>373</v>
      </c>
      <c r="L114" s="2"/>
    </row>
    <row r="115" spans="1:12" ht="16.5" customHeight="1">
      <c r="A115" s="19" t="s">
        <v>413</v>
      </c>
      <c r="B115" s="72" t="s">
        <v>317</v>
      </c>
      <c r="C115" s="55" t="s">
        <v>107</v>
      </c>
      <c r="D115" s="6">
        <f>SUM(D116:D121)</f>
        <v>7495.6</v>
      </c>
      <c r="E115" s="6">
        <f>SUM(E116:E121)</f>
        <v>3220.6</v>
      </c>
      <c r="F115" s="6">
        <f>SUM(F116:F121)</f>
        <v>1634.73143</v>
      </c>
      <c r="G115" s="6">
        <f>SUM(G116:G121)</f>
        <v>1634.73143</v>
      </c>
      <c r="H115" s="5">
        <f t="shared" si="10"/>
        <v>-5860.868570000001</v>
      </c>
      <c r="I115" s="6">
        <f t="shared" si="11"/>
        <v>21.80921380543252</v>
      </c>
      <c r="J115" s="2" t="s">
        <v>374</v>
      </c>
      <c r="L115" s="37"/>
    </row>
    <row r="116" spans="1:12" ht="47.25">
      <c r="A116" s="17" t="s">
        <v>318</v>
      </c>
      <c r="B116" s="64" t="s">
        <v>17</v>
      </c>
      <c r="C116" s="55" t="s">
        <v>178</v>
      </c>
      <c r="D116" s="6">
        <v>258</v>
      </c>
      <c r="E116" s="6">
        <v>768.1</v>
      </c>
      <c r="F116" s="5">
        <v>0</v>
      </c>
      <c r="G116" s="5">
        <f>F116-L115</f>
        <v>0</v>
      </c>
      <c r="H116" s="5">
        <f t="shared" si="10"/>
        <v>-258</v>
      </c>
      <c r="I116" s="6">
        <f t="shared" si="11"/>
        <v>0</v>
      </c>
      <c r="J116" s="2"/>
      <c r="L116" s="37"/>
    </row>
    <row r="117" spans="1:12" ht="48" customHeight="1">
      <c r="A117" s="17" t="s">
        <v>318</v>
      </c>
      <c r="B117" s="64" t="s">
        <v>370</v>
      </c>
      <c r="C117" s="86" t="s">
        <v>219</v>
      </c>
      <c r="D117" s="6">
        <v>1054</v>
      </c>
      <c r="E117" s="6">
        <v>852.5</v>
      </c>
      <c r="F117" s="5">
        <v>0</v>
      </c>
      <c r="G117" s="5">
        <f>F117-L116</f>
        <v>0</v>
      </c>
      <c r="H117" s="5">
        <f t="shared" si="10"/>
        <v>-1054</v>
      </c>
      <c r="I117" s="6">
        <f t="shared" si="11"/>
        <v>0</v>
      </c>
      <c r="J117" s="2"/>
      <c r="L117" s="37"/>
    </row>
    <row r="118" spans="1:12" ht="34.5" customHeight="1">
      <c r="A118" s="17" t="s">
        <v>318</v>
      </c>
      <c r="B118" s="64" t="s">
        <v>40</v>
      </c>
      <c r="C118" s="86" t="s">
        <v>220</v>
      </c>
      <c r="D118" s="6">
        <v>200</v>
      </c>
      <c r="E118" s="6"/>
      <c r="F118" s="5">
        <v>0</v>
      </c>
      <c r="G118" s="5"/>
      <c r="H118" s="5">
        <f t="shared" si="10"/>
        <v>-200</v>
      </c>
      <c r="I118" s="6">
        <f t="shared" si="11"/>
        <v>0</v>
      </c>
      <c r="J118" s="2"/>
      <c r="L118" s="37"/>
    </row>
    <row r="119" spans="1:12" ht="48" customHeight="1">
      <c r="A119" s="17" t="s">
        <v>320</v>
      </c>
      <c r="B119" s="64" t="s">
        <v>15</v>
      </c>
      <c r="C119" s="86" t="s">
        <v>221</v>
      </c>
      <c r="D119" s="6">
        <v>98</v>
      </c>
      <c r="E119" s="6">
        <v>0</v>
      </c>
      <c r="F119" s="5">
        <v>0</v>
      </c>
      <c r="G119" s="5">
        <f>F119-L117</f>
        <v>0</v>
      </c>
      <c r="H119" s="5">
        <f t="shared" si="10"/>
        <v>-98</v>
      </c>
      <c r="I119" s="6">
        <f t="shared" si="11"/>
        <v>0</v>
      </c>
      <c r="J119" s="2"/>
      <c r="L119" s="37"/>
    </row>
    <row r="120" spans="1:12" ht="47.25" customHeight="1">
      <c r="A120" s="17"/>
      <c r="B120" s="64" t="s">
        <v>321</v>
      </c>
      <c r="C120" s="63" t="s">
        <v>222</v>
      </c>
      <c r="D120" s="6">
        <v>0</v>
      </c>
      <c r="E120" s="6"/>
      <c r="F120" s="5">
        <v>0</v>
      </c>
      <c r="G120" s="5"/>
      <c r="H120" s="5">
        <f t="shared" si="10"/>
        <v>0</v>
      </c>
      <c r="I120" s="6" t="e">
        <f t="shared" si="11"/>
        <v>#DIV/0!</v>
      </c>
      <c r="J120" s="2"/>
      <c r="L120" s="37"/>
    </row>
    <row r="121" spans="1:12" ht="15.75">
      <c r="A121" s="17" t="s">
        <v>320</v>
      </c>
      <c r="B121" s="64" t="s">
        <v>321</v>
      </c>
      <c r="C121" s="63" t="s">
        <v>384</v>
      </c>
      <c r="D121" s="6">
        <v>5885.6</v>
      </c>
      <c r="E121" s="6">
        <v>1600</v>
      </c>
      <c r="F121" s="5">
        <v>1634.73143</v>
      </c>
      <c r="G121" s="5">
        <f>F121-L119</f>
        <v>1634.73143</v>
      </c>
      <c r="H121" s="5">
        <f t="shared" si="10"/>
        <v>-4250.868570000001</v>
      </c>
      <c r="I121" s="6">
        <f t="shared" si="11"/>
        <v>27.775102453445697</v>
      </c>
      <c r="J121" s="2"/>
      <c r="L121" s="2"/>
    </row>
    <row r="122" spans="1:12" ht="15.75">
      <c r="A122" s="19" t="s">
        <v>322</v>
      </c>
      <c r="B122" s="72" t="s">
        <v>335</v>
      </c>
      <c r="C122" s="55" t="s">
        <v>109</v>
      </c>
      <c r="D122" s="6">
        <f>SUM(D123:D128)</f>
        <v>3481.5376400000005</v>
      </c>
      <c r="E122" s="6">
        <f>SUM(E123:E128)</f>
        <v>970.5999999999999</v>
      </c>
      <c r="F122" s="6">
        <f>SUM(F123:F128)</f>
        <v>987.87217</v>
      </c>
      <c r="G122" s="6" t="e">
        <f>SUM(G123:G128)</f>
        <v>#REF!</v>
      </c>
      <c r="H122" s="5">
        <f t="shared" si="10"/>
        <v>-2493.6654700000004</v>
      </c>
      <c r="I122" s="6">
        <f t="shared" si="11"/>
        <v>28.374593991176837</v>
      </c>
      <c r="J122" s="2"/>
      <c r="L122" s="37"/>
    </row>
    <row r="123" spans="1:12" ht="15.75">
      <c r="A123" s="17" t="s">
        <v>322</v>
      </c>
      <c r="B123" s="64" t="s">
        <v>444</v>
      </c>
      <c r="C123" s="74" t="s">
        <v>447</v>
      </c>
      <c r="D123" s="6">
        <v>432.13914</v>
      </c>
      <c r="E123" s="6">
        <v>123.4</v>
      </c>
      <c r="F123" s="5">
        <v>118.31601</v>
      </c>
      <c r="G123" s="5">
        <f>F123-L122</f>
        <v>118.31601</v>
      </c>
      <c r="H123" s="5">
        <f t="shared" si="10"/>
        <v>-313.82313</v>
      </c>
      <c r="I123" s="6">
        <f t="shared" si="11"/>
        <v>27.3791469108769</v>
      </c>
      <c r="J123" s="2"/>
      <c r="L123" s="37"/>
    </row>
    <row r="124" spans="1:12" ht="15.75">
      <c r="A124" s="17" t="s">
        <v>322</v>
      </c>
      <c r="B124" s="64" t="s">
        <v>445</v>
      </c>
      <c r="C124" s="74" t="s">
        <v>449</v>
      </c>
      <c r="D124" s="6">
        <v>279.96924</v>
      </c>
      <c r="E124" s="6">
        <v>86.6</v>
      </c>
      <c r="F124" s="5">
        <v>93.53986</v>
      </c>
      <c r="G124" s="5">
        <f>F124-L123</f>
        <v>93.53986</v>
      </c>
      <c r="H124" s="5">
        <f t="shared" si="10"/>
        <v>-186.42938</v>
      </c>
      <c r="I124" s="6">
        <f t="shared" si="11"/>
        <v>33.41076326813617</v>
      </c>
      <c r="J124" s="2"/>
      <c r="L124" s="37"/>
    </row>
    <row r="125" spans="1:12" ht="18" customHeight="1">
      <c r="A125" s="17" t="s">
        <v>322</v>
      </c>
      <c r="B125" s="64" t="s">
        <v>446</v>
      </c>
      <c r="C125" s="74" t="s">
        <v>448</v>
      </c>
      <c r="D125" s="6">
        <v>2240.05368</v>
      </c>
      <c r="E125" s="6">
        <v>581.9</v>
      </c>
      <c r="F125" s="5">
        <v>642.78324</v>
      </c>
      <c r="G125" s="5" t="e">
        <f>F125-#REF!</f>
        <v>#REF!</v>
      </c>
      <c r="H125" s="5">
        <f t="shared" si="10"/>
        <v>-1597.27044</v>
      </c>
      <c r="I125" s="6">
        <f t="shared" si="11"/>
        <v>28.69499270213917</v>
      </c>
      <c r="J125" s="2"/>
      <c r="L125" s="37"/>
    </row>
    <row r="126" spans="1:12" ht="63" hidden="1">
      <c r="A126" s="17" t="s">
        <v>361</v>
      </c>
      <c r="B126" s="64" t="s">
        <v>432</v>
      </c>
      <c r="C126" s="74" t="s">
        <v>431</v>
      </c>
      <c r="D126" s="6">
        <v>0</v>
      </c>
      <c r="E126" s="6">
        <v>18.4</v>
      </c>
      <c r="F126" s="5">
        <v>0</v>
      </c>
      <c r="G126" s="5">
        <f>F126-L125</f>
        <v>0</v>
      </c>
      <c r="H126" s="5">
        <f t="shared" si="10"/>
        <v>0</v>
      </c>
      <c r="I126" s="6" t="e">
        <f t="shared" si="11"/>
        <v>#DIV/0!</v>
      </c>
      <c r="J126" s="2"/>
      <c r="L126" s="37"/>
    </row>
    <row r="127" spans="1:12" ht="15.75">
      <c r="A127" s="17" t="s">
        <v>322</v>
      </c>
      <c r="B127" s="64" t="s">
        <v>424</v>
      </c>
      <c r="C127" s="74" t="s">
        <v>397</v>
      </c>
      <c r="D127" s="6">
        <v>234.49958</v>
      </c>
      <c r="E127" s="6">
        <v>60.3</v>
      </c>
      <c r="F127" s="5">
        <v>80.09613</v>
      </c>
      <c r="G127" s="5">
        <f>F127-L126</f>
        <v>80.09613</v>
      </c>
      <c r="H127" s="5">
        <f t="shared" si="10"/>
        <v>-154.40345000000002</v>
      </c>
      <c r="I127" s="6">
        <f t="shared" si="11"/>
        <v>34.15619337143376</v>
      </c>
      <c r="J127" s="2"/>
      <c r="L127" s="37"/>
    </row>
    <row r="128" spans="1:12" ht="50.25" customHeight="1">
      <c r="A128" s="17" t="s">
        <v>425</v>
      </c>
      <c r="B128" s="64" t="s">
        <v>424</v>
      </c>
      <c r="C128" s="74" t="s">
        <v>35</v>
      </c>
      <c r="D128" s="6">
        <v>294.876</v>
      </c>
      <c r="E128" s="6">
        <v>100</v>
      </c>
      <c r="F128" s="5">
        <v>53.13693</v>
      </c>
      <c r="G128" s="5">
        <f>F128-L127</f>
        <v>53.13693</v>
      </c>
      <c r="H128" s="5">
        <f t="shared" si="10"/>
        <v>-241.73906999999997</v>
      </c>
      <c r="I128" s="6">
        <f t="shared" si="11"/>
        <v>18.020093191714484</v>
      </c>
      <c r="J128" s="2"/>
      <c r="L128" s="2"/>
    </row>
    <row r="129" spans="1:12" ht="19.5" customHeight="1">
      <c r="A129" s="17" t="s">
        <v>414</v>
      </c>
      <c r="B129" s="64" t="s">
        <v>371</v>
      </c>
      <c r="C129" s="74" t="s">
        <v>110</v>
      </c>
      <c r="D129" s="6">
        <f>SUM(D130:D133)</f>
        <v>390</v>
      </c>
      <c r="E129" s="6">
        <f>SUM(E130:E133)</f>
        <v>141.2</v>
      </c>
      <c r="F129" s="6">
        <f>SUM(F130:F133)</f>
        <v>86.93132</v>
      </c>
      <c r="G129" s="6">
        <f>SUM(G130:G132)</f>
        <v>10</v>
      </c>
      <c r="H129" s="5">
        <f t="shared" si="10"/>
        <v>-303.06868</v>
      </c>
      <c r="I129" s="6">
        <f t="shared" si="11"/>
        <v>22.290082051282052</v>
      </c>
      <c r="J129" s="2"/>
      <c r="L129" s="38"/>
    </row>
    <row r="130" spans="1:12" ht="15" customHeight="1" hidden="1">
      <c r="A130" s="23" t="s">
        <v>342</v>
      </c>
      <c r="B130" s="50" t="s">
        <v>341</v>
      </c>
      <c r="C130" s="7" t="s">
        <v>470</v>
      </c>
      <c r="D130" s="1">
        <v>0</v>
      </c>
      <c r="E130" s="1">
        <v>21</v>
      </c>
      <c r="F130" s="8">
        <v>0</v>
      </c>
      <c r="G130" s="5">
        <f>F130-L129</f>
        <v>0</v>
      </c>
      <c r="H130" s="4">
        <f t="shared" si="10"/>
        <v>0</v>
      </c>
      <c r="I130" s="1" t="e">
        <f t="shared" si="11"/>
        <v>#DIV/0!</v>
      </c>
      <c r="J130" s="2"/>
      <c r="L130" s="38"/>
    </row>
    <row r="131" spans="1:12" ht="23.25" customHeight="1" hidden="1">
      <c r="A131" s="23" t="s">
        <v>382</v>
      </c>
      <c r="B131" s="50" t="s">
        <v>383</v>
      </c>
      <c r="C131" s="7" t="s">
        <v>471</v>
      </c>
      <c r="D131" s="1">
        <v>0</v>
      </c>
      <c r="E131" s="1">
        <v>120.2</v>
      </c>
      <c r="F131" s="8">
        <v>0</v>
      </c>
      <c r="G131" s="5">
        <f>F131-L130</f>
        <v>0</v>
      </c>
      <c r="H131" s="4">
        <f t="shared" si="10"/>
        <v>0</v>
      </c>
      <c r="I131" s="1" t="e">
        <f t="shared" si="11"/>
        <v>#DIV/0!</v>
      </c>
      <c r="J131" s="2"/>
      <c r="L131" s="37"/>
    </row>
    <row r="132" spans="1:12" ht="31.5" customHeight="1">
      <c r="A132" s="23" t="s">
        <v>382</v>
      </c>
      <c r="B132" s="50" t="s">
        <v>383</v>
      </c>
      <c r="C132" s="7" t="s">
        <v>179</v>
      </c>
      <c r="D132" s="1">
        <v>10</v>
      </c>
      <c r="E132" s="1"/>
      <c r="F132" s="4">
        <v>10</v>
      </c>
      <c r="G132" s="5">
        <f>F132-L131</f>
        <v>10</v>
      </c>
      <c r="H132" s="4">
        <f t="shared" si="10"/>
        <v>0</v>
      </c>
      <c r="I132" s="1">
        <f t="shared" si="11"/>
        <v>100</v>
      </c>
      <c r="J132" s="2"/>
      <c r="L132" s="2"/>
    </row>
    <row r="133" spans="1:12" ht="47.25">
      <c r="A133" s="23"/>
      <c r="B133" s="50" t="s">
        <v>42</v>
      </c>
      <c r="C133" s="63" t="s">
        <v>223</v>
      </c>
      <c r="D133" s="1">
        <v>380</v>
      </c>
      <c r="E133" s="1"/>
      <c r="F133" s="4">
        <v>76.93132</v>
      </c>
      <c r="G133" s="5"/>
      <c r="H133" s="4">
        <f t="shared" si="10"/>
        <v>-303.06868</v>
      </c>
      <c r="I133" s="1">
        <f t="shared" si="11"/>
        <v>20.245084210526315</v>
      </c>
      <c r="J133" s="2"/>
      <c r="L133" s="2"/>
    </row>
    <row r="134" spans="1:12" ht="15.75">
      <c r="A134" s="19" t="s">
        <v>323</v>
      </c>
      <c r="B134" s="72" t="s">
        <v>324</v>
      </c>
      <c r="C134" s="55" t="s">
        <v>111</v>
      </c>
      <c r="D134" s="6">
        <f>D136+D137+D135+D138</f>
        <v>1381.2573699999998</v>
      </c>
      <c r="E134" s="6">
        <f>E136+E137+E135+E138</f>
        <v>336.9</v>
      </c>
      <c r="F134" s="6">
        <f>F136+F137+F135+F138</f>
        <v>414.06346</v>
      </c>
      <c r="G134" s="6">
        <f>G136+G137</f>
        <v>378.26013</v>
      </c>
      <c r="H134" s="5">
        <f t="shared" si="10"/>
        <v>-967.1939099999997</v>
      </c>
      <c r="I134" s="6">
        <f t="shared" si="11"/>
        <v>29.97728511667598</v>
      </c>
      <c r="J134" s="2"/>
      <c r="L134" s="37"/>
    </row>
    <row r="135" spans="1:12" ht="48" customHeight="1">
      <c r="A135" s="19" t="s">
        <v>323</v>
      </c>
      <c r="B135" s="49" t="s">
        <v>21</v>
      </c>
      <c r="C135" s="55" t="s">
        <v>193</v>
      </c>
      <c r="D135" s="1">
        <v>45</v>
      </c>
      <c r="E135" s="1"/>
      <c r="F135" s="1">
        <v>6.81686</v>
      </c>
      <c r="G135" s="1"/>
      <c r="H135" s="4">
        <f t="shared" si="10"/>
        <v>-38.18314</v>
      </c>
      <c r="I135" s="1">
        <f t="shared" si="11"/>
        <v>15.148577777777778</v>
      </c>
      <c r="J135" s="2"/>
      <c r="L135" s="37"/>
    </row>
    <row r="136" spans="1:12" ht="62.25" customHeight="1">
      <c r="A136" s="19" t="s">
        <v>323</v>
      </c>
      <c r="B136" s="49" t="s">
        <v>415</v>
      </c>
      <c r="C136" s="7" t="s">
        <v>224</v>
      </c>
      <c r="D136" s="1">
        <v>70</v>
      </c>
      <c r="E136" s="1">
        <v>15</v>
      </c>
      <c r="F136" s="4">
        <v>37.90103</v>
      </c>
      <c r="G136" s="5">
        <f>F136-L134</f>
        <v>37.90103</v>
      </c>
      <c r="H136" s="4">
        <f t="shared" si="10"/>
        <v>-32.09897</v>
      </c>
      <c r="I136" s="1">
        <f t="shared" si="11"/>
        <v>54.14432857142857</v>
      </c>
      <c r="J136" s="2"/>
      <c r="L136" s="37"/>
    </row>
    <row r="137" spans="1:12" ht="31.5">
      <c r="A137" s="19" t="s">
        <v>323</v>
      </c>
      <c r="B137" s="49" t="s">
        <v>325</v>
      </c>
      <c r="C137" s="7" t="s">
        <v>427</v>
      </c>
      <c r="D137" s="1">
        <v>1205.39737</v>
      </c>
      <c r="E137" s="1">
        <v>321.9</v>
      </c>
      <c r="F137" s="4">
        <v>340.3591</v>
      </c>
      <c r="G137" s="5">
        <f>F137-L136</f>
        <v>340.3591</v>
      </c>
      <c r="H137" s="4">
        <f t="shared" si="10"/>
        <v>-865.0382699999999</v>
      </c>
      <c r="I137" s="1">
        <f t="shared" si="11"/>
        <v>28.23625706102213</v>
      </c>
      <c r="J137" s="2"/>
      <c r="L137" s="37"/>
    </row>
    <row r="138" spans="1:12" ht="46.5" customHeight="1">
      <c r="A138" s="19" t="s">
        <v>323</v>
      </c>
      <c r="B138" s="49" t="s">
        <v>22</v>
      </c>
      <c r="C138" s="55" t="s">
        <v>194</v>
      </c>
      <c r="D138" s="1">
        <v>60.86</v>
      </c>
      <c r="E138" s="1"/>
      <c r="F138" s="4">
        <v>28.98647</v>
      </c>
      <c r="G138" s="5"/>
      <c r="H138" s="4">
        <f t="shared" si="10"/>
        <v>-31.87353</v>
      </c>
      <c r="I138" s="1">
        <f t="shared" si="11"/>
        <v>47.628113703581995</v>
      </c>
      <c r="J138" s="2"/>
      <c r="L138" s="37"/>
    </row>
    <row r="139" spans="1:12" ht="27.75" customHeight="1" hidden="1">
      <c r="A139" s="17" t="s">
        <v>343</v>
      </c>
      <c r="B139" s="48" t="s">
        <v>340</v>
      </c>
      <c r="C139" s="24" t="s">
        <v>7</v>
      </c>
      <c r="D139" s="1"/>
      <c r="E139" s="1"/>
      <c r="F139" s="4"/>
      <c r="G139" s="5">
        <f>F139-L137</f>
        <v>0</v>
      </c>
      <c r="H139" s="4">
        <f t="shared" si="10"/>
        <v>0</v>
      </c>
      <c r="I139" s="1" t="e">
        <f t="shared" si="11"/>
        <v>#DIV/0!</v>
      </c>
      <c r="J139" s="2"/>
      <c r="L139" s="37"/>
    </row>
    <row r="140" spans="1:12" ht="31.5" customHeight="1">
      <c r="A140" s="17" t="s">
        <v>416</v>
      </c>
      <c r="B140" s="64" t="s">
        <v>464</v>
      </c>
      <c r="C140" s="87" t="s">
        <v>199</v>
      </c>
      <c r="D140" s="88">
        <f>D141</f>
        <v>100</v>
      </c>
      <c r="E140" s="88">
        <f>E141</f>
        <v>50</v>
      </c>
      <c r="F140" s="88">
        <f>F141</f>
        <v>0</v>
      </c>
      <c r="G140" s="89">
        <f>G141</f>
        <v>0</v>
      </c>
      <c r="H140" s="5">
        <f t="shared" si="10"/>
        <v>-100</v>
      </c>
      <c r="I140" s="6">
        <f t="shared" si="11"/>
        <v>0</v>
      </c>
      <c r="J140" s="2"/>
      <c r="L140" s="37"/>
    </row>
    <row r="141" spans="1:12" ht="29.25" customHeight="1">
      <c r="A141" s="19" t="s">
        <v>416</v>
      </c>
      <c r="B141" s="49" t="s">
        <v>417</v>
      </c>
      <c r="C141" s="7" t="s">
        <v>202</v>
      </c>
      <c r="D141" s="9">
        <v>100</v>
      </c>
      <c r="E141" s="9">
        <v>50</v>
      </c>
      <c r="F141" s="4">
        <v>0</v>
      </c>
      <c r="G141" s="5">
        <f>F141-L140</f>
        <v>0</v>
      </c>
      <c r="H141" s="4">
        <f t="shared" si="10"/>
        <v>-100</v>
      </c>
      <c r="I141" s="1">
        <f t="shared" si="11"/>
        <v>0</v>
      </c>
      <c r="J141" s="2"/>
      <c r="L141" s="2"/>
    </row>
    <row r="142" spans="1:12" ht="30" customHeight="1" hidden="1">
      <c r="A142" s="19" t="s">
        <v>416</v>
      </c>
      <c r="B142" s="49" t="s">
        <v>478</v>
      </c>
      <c r="C142" s="7" t="s">
        <v>480</v>
      </c>
      <c r="D142" s="9"/>
      <c r="E142" s="9"/>
      <c r="F142" s="4"/>
      <c r="G142" s="5"/>
      <c r="H142" s="4">
        <f t="shared" si="10"/>
        <v>0</v>
      </c>
      <c r="I142" s="1" t="e">
        <f t="shared" si="11"/>
        <v>#DIV/0!</v>
      </c>
      <c r="J142" s="2"/>
      <c r="L142" s="2"/>
    </row>
    <row r="143" spans="1:12" ht="31.5">
      <c r="A143" s="17"/>
      <c r="B143" s="64" t="s">
        <v>367</v>
      </c>
      <c r="C143" s="74" t="s">
        <v>198</v>
      </c>
      <c r="D143" s="6">
        <f>SUM(D144:D148)</f>
        <v>776.12</v>
      </c>
      <c r="E143" s="6">
        <f>SUM(E144:E148)</f>
        <v>447.1</v>
      </c>
      <c r="F143" s="6">
        <f>SUM(F144:F148)</f>
        <v>171.75063</v>
      </c>
      <c r="G143" s="6">
        <f>SUM(G144:G146)</f>
        <v>171.75063</v>
      </c>
      <c r="H143" s="5">
        <f t="shared" si="10"/>
        <v>-604.36937</v>
      </c>
      <c r="I143" s="6">
        <f t="shared" si="11"/>
        <v>22.129391073545328</v>
      </c>
      <c r="J143" s="2"/>
      <c r="L143" s="37"/>
    </row>
    <row r="144" spans="1:12" ht="63" hidden="1">
      <c r="A144" s="17" t="s">
        <v>326</v>
      </c>
      <c r="B144" s="64" t="s">
        <v>327</v>
      </c>
      <c r="C144" s="55" t="s">
        <v>9</v>
      </c>
      <c r="D144" s="6">
        <v>0</v>
      </c>
      <c r="E144" s="6">
        <v>140</v>
      </c>
      <c r="F144" s="5">
        <v>0</v>
      </c>
      <c r="G144" s="5">
        <f>F144-L143</f>
        <v>0</v>
      </c>
      <c r="H144" s="5">
        <f t="shared" si="10"/>
        <v>0</v>
      </c>
      <c r="I144" s="6" t="e">
        <f t="shared" si="11"/>
        <v>#DIV/0!</v>
      </c>
      <c r="J144" s="2"/>
      <c r="L144" s="37"/>
    </row>
    <row r="145" spans="1:12" ht="48" customHeight="1">
      <c r="A145" s="17" t="s">
        <v>326</v>
      </c>
      <c r="B145" s="64" t="s">
        <v>327</v>
      </c>
      <c r="C145" s="55" t="s">
        <v>195</v>
      </c>
      <c r="D145" s="6">
        <v>408.6</v>
      </c>
      <c r="E145" s="6">
        <v>292.6</v>
      </c>
      <c r="F145" s="5">
        <v>165.79663</v>
      </c>
      <c r="G145" s="5">
        <f>F145-L144</f>
        <v>165.79663</v>
      </c>
      <c r="H145" s="5">
        <f t="shared" si="10"/>
        <v>-242.80337000000003</v>
      </c>
      <c r="I145" s="6">
        <f t="shared" si="11"/>
        <v>40.57675721977484</v>
      </c>
      <c r="J145" s="2"/>
      <c r="L145" s="37"/>
    </row>
    <row r="146" spans="1:12" ht="48.75" customHeight="1">
      <c r="A146" s="17" t="s">
        <v>326</v>
      </c>
      <c r="B146" s="64" t="s">
        <v>389</v>
      </c>
      <c r="C146" s="63" t="s">
        <v>196</v>
      </c>
      <c r="D146" s="6">
        <v>18</v>
      </c>
      <c r="E146" s="6">
        <v>12.5</v>
      </c>
      <c r="F146" s="5">
        <v>5.954</v>
      </c>
      <c r="G146" s="5">
        <f>F146-L145</f>
        <v>5.954</v>
      </c>
      <c r="H146" s="5">
        <f t="shared" si="10"/>
        <v>-12.046</v>
      </c>
      <c r="I146" s="6">
        <f t="shared" si="11"/>
        <v>33.077777777777776</v>
      </c>
      <c r="J146" s="2"/>
      <c r="L146" s="37"/>
    </row>
    <row r="147" spans="1:12" ht="31.5" hidden="1">
      <c r="A147" s="17" t="s">
        <v>328</v>
      </c>
      <c r="B147" s="64" t="s">
        <v>435</v>
      </c>
      <c r="C147" s="63" t="s">
        <v>10</v>
      </c>
      <c r="D147" s="6">
        <v>0</v>
      </c>
      <c r="E147" s="6">
        <v>2</v>
      </c>
      <c r="F147" s="5">
        <v>0</v>
      </c>
      <c r="G147" s="5">
        <f>F147-L146</f>
        <v>0</v>
      </c>
      <c r="H147" s="5">
        <f t="shared" si="10"/>
        <v>0</v>
      </c>
      <c r="I147" s="6" t="e">
        <f t="shared" si="11"/>
        <v>#DIV/0!</v>
      </c>
      <c r="J147" s="2"/>
      <c r="L147" s="37"/>
    </row>
    <row r="148" spans="1:12" ht="49.5" customHeight="1">
      <c r="A148" s="17" t="s">
        <v>326</v>
      </c>
      <c r="B148" s="64" t="s">
        <v>327</v>
      </c>
      <c r="C148" s="63" t="s">
        <v>225</v>
      </c>
      <c r="D148" s="6">
        <v>349.52</v>
      </c>
      <c r="E148" s="6"/>
      <c r="F148" s="5">
        <v>0</v>
      </c>
      <c r="G148" s="5"/>
      <c r="H148" s="5">
        <f t="shared" si="10"/>
        <v>-349.52</v>
      </c>
      <c r="I148" s="6">
        <f t="shared" si="11"/>
        <v>0</v>
      </c>
      <c r="J148" s="2"/>
      <c r="L148" s="37"/>
    </row>
    <row r="149" spans="1:12" ht="31.5">
      <c r="A149" s="17"/>
      <c r="B149" s="64" t="s">
        <v>48</v>
      </c>
      <c r="C149" s="63" t="s">
        <v>197</v>
      </c>
      <c r="D149" s="6">
        <f>D150+D151+D152+D155+D153+D154</f>
        <v>339.14347</v>
      </c>
      <c r="E149" s="6">
        <f>E150+E151+E152+E155+E153+E154</f>
        <v>10</v>
      </c>
      <c r="F149" s="6">
        <f>F150+F151+F152+F155+F153+F154</f>
        <v>1.73527</v>
      </c>
      <c r="G149" s="5"/>
      <c r="H149" s="5">
        <f t="shared" si="10"/>
        <v>-337.40819999999997</v>
      </c>
      <c r="I149" s="6">
        <f t="shared" si="11"/>
        <v>0.511662512623345</v>
      </c>
      <c r="J149" s="2"/>
      <c r="L149" s="37"/>
    </row>
    <row r="150" spans="1:12" ht="65.25" customHeight="1">
      <c r="A150" s="17"/>
      <c r="B150" s="64" t="s">
        <v>435</v>
      </c>
      <c r="C150" s="63" t="s">
        <v>129</v>
      </c>
      <c r="D150" s="6">
        <v>20.385</v>
      </c>
      <c r="E150" s="6"/>
      <c r="F150" s="5">
        <v>0.385</v>
      </c>
      <c r="G150" s="5"/>
      <c r="H150" s="5">
        <f t="shared" si="10"/>
        <v>-20</v>
      </c>
      <c r="I150" s="6">
        <f t="shared" si="11"/>
        <v>1.888643610497915</v>
      </c>
      <c r="J150" s="2"/>
      <c r="L150" s="37"/>
    </row>
    <row r="151" spans="1:12" ht="63">
      <c r="A151" s="17" t="s">
        <v>328</v>
      </c>
      <c r="B151" s="64" t="s">
        <v>435</v>
      </c>
      <c r="C151" s="63" t="s">
        <v>201</v>
      </c>
      <c r="D151" s="6">
        <v>20.75847</v>
      </c>
      <c r="E151" s="6">
        <v>10</v>
      </c>
      <c r="F151" s="5">
        <v>1.35027</v>
      </c>
      <c r="G151" s="5">
        <f>F151-L147</f>
        <v>1.35027</v>
      </c>
      <c r="H151" s="5">
        <f t="shared" si="10"/>
        <v>-19.4082</v>
      </c>
      <c r="I151" s="6">
        <f t="shared" si="11"/>
        <v>6.504670141874619</v>
      </c>
      <c r="J151" s="2"/>
      <c r="L151" s="37"/>
    </row>
    <row r="152" spans="1:12" ht="47.25">
      <c r="A152" s="25" t="s">
        <v>328</v>
      </c>
      <c r="B152" s="64" t="s">
        <v>435</v>
      </c>
      <c r="C152" s="63" t="s">
        <v>226</v>
      </c>
      <c r="D152" s="6">
        <v>30</v>
      </c>
      <c r="E152" s="6"/>
      <c r="F152" s="5">
        <v>0</v>
      </c>
      <c r="G152" s="5"/>
      <c r="H152" s="5">
        <f t="shared" si="10"/>
        <v>-30</v>
      </c>
      <c r="I152" s="6">
        <f t="shared" si="11"/>
        <v>0</v>
      </c>
      <c r="J152" s="2"/>
      <c r="L152" s="37"/>
    </row>
    <row r="153" spans="1:12" ht="63.75" customHeight="1">
      <c r="A153" s="25"/>
      <c r="B153" s="64" t="s">
        <v>435</v>
      </c>
      <c r="C153" s="63" t="s">
        <v>201</v>
      </c>
      <c r="D153" s="6">
        <v>238</v>
      </c>
      <c r="E153" s="6"/>
      <c r="F153" s="5">
        <v>0</v>
      </c>
      <c r="G153" s="5"/>
      <c r="H153" s="5">
        <f t="shared" si="10"/>
        <v>-238</v>
      </c>
      <c r="I153" s="6">
        <f t="shared" si="11"/>
        <v>0</v>
      </c>
      <c r="J153" s="2"/>
      <c r="L153" s="37"/>
    </row>
    <row r="154" spans="1:12" ht="31.5">
      <c r="A154" s="25"/>
      <c r="B154" s="64" t="s">
        <v>435</v>
      </c>
      <c r="C154" s="63" t="s">
        <v>130</v>
      </c>
      <c r="D154" s="6">
        <v>20</v>
      </c>
      <c r="E154" s="6"/>
      <c r="F154" s="5"/>
      <c r="G154" s="5"/>
      <c r="H154" s="5">
        <f>F154-D154</f>
        <v>-20</v>
      </c>
      <c r="I154" s="6">
        <f>F154/D154*100</f>
        <v>0</v>
      </c>
      <c r="J154" s="2"/>
      <c r="L154" s="37"/>
    </row>
    <row r="155" spans="1:12" ht="30.75" customHeight="1">
      <c r="A155" s="25" t="s">
        <v>328</v>
      </c>
      <c r="B155" s="64" t="s">
        <v>203</v>
      </c>
      <c r="C155" s="63" t="s">
        <v>204</v>
      </c>
      <c r="D155" s="6">
        <v>10</v>
      </c>
      <c r="E155" s="6"/>
      <c r="F155" s="5">
        <v>0</v>
      </c>
      <c r="G155" s="5"/>
      <c r="H155" s="5">
        <f t="shared" si="10"/>
        <v>-10</v>
      </c>
      <c r="I155" s="6">
        <f t="shared" si="11"/>
        <v>0</v>
      </c>
      <c r="J155" s="2"/>
      <c r="L155" s="37"/>
    </row>
    <row r="156" spans="1:12" ht="32.25" customHeight="1">
      <c r="A156" s="17" t="s">
        <v>418</v>
      </c>
      <c r="B156" s="64" t="s">
        <v>465</v>
      </c>
      <c r="C156" s="55" t="s">
        <v>207</v>
      </c>
      <c r="D156" s="6">
        <f>D157+D158</f>
        <v>290.2</v>
      </c>
      <c r="E156" s="6">
        <f>E157+E158</f>
        <v>119.7</v>
      </c>
      <c r="F156" s="6">
        <f>F157+F158</f>
        <v>89.35609000000001</v>
      </c>
      <c r="G156" s="5"/>
      <c r="H156" s="5">
        <f t="shared" si="10"/>
        <v>-200.84391</v>
      </c>
      <c r="I156" s="6">
        <f t="shared" si="11"/>
        <v>30.791209510682293</v>
      </c>
      <c r="J156" s="2"/>
      <c r="L156" s="37"/>
    </row>
    <row r="157" spans="1:12" ht="60" customHeight="1">
      <c r="A157" s="17" t="s">
        <v>418</v>
      </c>
      <c r="B157" s="64" t="s">
        <v>347</v>
      </c>
      <c r="C157" s="55" t="s">
        <v>208</v>
      </c>
      <c r="D157" s="6">
        <v>42.5</v>
      </c>
      <c r="E157" s="6">
        <v>20</v>
      </c>
      <c r="F157" s="5">
        <v>5.90412</v>
      </c>
      <c r="G157" s="5">
        <f>F157-L156</f>
        <v>5.90412</v>
      </c>
      <c r="H157" s="5">
        <f t="shared" si="10"/>
        <v>-36.59588</v>
      </c>
      <c r="I157" s="6">
        <f t="shared" si="11"/>
        <v>13.892047058823529</v>
      </c>
      <c r="J157" s="2"/>
      <c r="L157" s="37"/>
    </row>
    <row r="158" spans="1:12" ht="31.5">
      <c r="A158" s="17" t="s">
        <v>418</v>
      </c>
      <c r="B158" s="64" t="s">
        <v>339</v>
      </c>
      <c r="C158" s="55" t="s">
        <v>472</v>
      </c>
      <c r="D158" s="6">
        <v>247.7</v>
      </c>
      <c r="E158" s="6">
        <v>99.7</v>
      </c>
      <c r="F158" s="5">
        <v>83.45197</v>
      </c>
      <c r="G158" s="5">
        <f>F158-L157</f>
        <v>83.45197</v>
      </c>
      <c r="H158" s="5">
        <f t="shared" si="10"/>
        <v>-164.24802999999997</v>
      </c>
      <c r="I158" s="6">
        <f t="shared" si="11"/>
        <v>33.690742834073475</v>
      </c>
      <c r="J158" s="2"/>
      <c r="L158" s="37"/>
    </row>
    <row r="159" spans="1:12" ht="15" customHeight="1">
      <c r="A159" s="17"/>
      <c r="B159" s="64" t="s">
        <v>466</v>
      </c>
      <c r="C159" s="55" t="s">
        <v>209</v>
      </c>
      <c r="D159" s="6">
        <f>D161+D170+D172+D173+D174+D175+D176+D177+D180+D179+D171+D162+D178</f>
        <v>572.27134</v>
      </c>
      <c r="E159" s="6">
        <f>E161+E170+E172+E173+E174+E175+E176+E177+E180+E179+E171+E162+E178</f>
        <v>0</v>
      </c>
      <c r="F159" s="6">
        <f>F161+F170+F172+F173+F174+F175+F176+F177+F180+F179+F171+F162+F178</f>
        <v>87.06111000000001</v>
      </c>
      <c r="G159" s="6" t="e">
        <f>G160+G161+G162+G163+G166+G167+G172+G173+G180+#REF!+#REF!+#REF!</f>
        <v>#REF!</v>
      </c>
      <c r="H159" s="5">
        <f t="shared" si="10"/>
        <v>-485.21023</v>
      </c>
      <c r="I159" s="6">
        <f t="shared" si="11"/>
        <v>15.213257053900342</v>
      </c>
      <c r="J159" s="2"/>
      <c r="L159" s="37"/>
    </row>
    <row r="160" spans="1:12" ht="13.5" customHeight="1" hidden="1">
      <c r="A160" s="17" t="s">
        <v>329</v>
      </c>
      <c r="B160" s="48" t="s">
        <v>330</v>
      </c>
      <c r="C160" s="18" t="s">
        <v>364</v>
      </c>
      <c r="D160" s="1">
        <v>0</v>
      </c>
      <c r="E160" s="1">
        <v>60</v>
      </c>
      <c r="F160" s="4">
        <v>0</v>
      </c>
      <c r="G160" s="5">
        <f>F160-L159</f>
        <v>0</v>
      </c>
      <c r="H160" s="4">
        <f>F160-D160</f>
        <v>0</v>
      </c>
      <c r="I160" s="1" t="e">
        <f>F160/D160*100</f>
        <v>#DIV/0!</v>
      </c>
      <c r="J160" s="2"/>
      <c r="L160" s="2"/>
    </row>
    <row r="161" spans="1:12" ht="47.25" hidden="1">
      <c r="A161" s="17" t="s">
        <v>329</v>
      </c>
      <c r="B161" s="64" t="s">
        <v>428</v>
      </c>
      <c r="C161" s="55" t="s">
        <v>210</v>
      </c>
      <c r="D161" s="6"/>
      <c r="E161" s="6"/>
      <c r="F161" s="6"/>
      <c r="G161" s="5">
        <f>F161-L160</f>
        <v>0</v>
      </c>
      <c r="H161" s="5">
        <f>F161-D161</f>
        <v>0</v>
      </c>
      <c r="I161" s="6" t="e">
        <f>F161/D161*100</f>
        <v>#DIV/0!</v>
      </c>
      <c r="J161" s="2"/>
      <c r="L161" s="37"/>
    </row>
    <row r="162" spans="1:12" ht="51.75" customHeight="1" hidden="1">
      <c r="A162" s="17" t="s">
        <v>332</v>
      </c>
      <c r="B162" s="48" t="s">
        <v>428</v>
      </c>
      <c r="C162" s="7" t="s">
        <v>211</v>
      </c>
      <c r="D162" s="1"/>
      <c r="E162" s="1"/>
      <c r="F162" s="4"/>
      <c r="G162" s="5">
        <f>F162-L161</f>
        <v>0</v>
      </c>
      <c r="H162" s="4">
        <f>F162-D162</f>
        <v>0</v>
      </c>
      <c r="I162" s="1" t="e">
        <f>F162/D162*100</f>
        <v>#DIV/0!</v>
      </c>
      <c r="J162" s="2"/>
      <c r="L162" s="37"/>
    </row>
    <row r="163" spans="1:12" ht="15" customHeight="1" hidden="1">
      <c r="A163" s="19" t="s">
        <v>332</v>
      </c>
      <c r="B163" s="49" t="s">
        <v>338</v>
      </c>
      <c r="C163" s="26" t="s">
        <v>3</v>
      </c>
      <c r="D163" s="1">
        <v>0</v>
      </c>
      <c r="E163" s="1"/>
      <c r="F163" s="4"/>
      <c r="G163" s="5">
        <f>F163-L162</f>
        <v>0</v>
      </c>
      <c r="H163" s="4">
        <f>F163-D163</f>
        <v>0</v>
      </c>
      <c r="I163" s="1" t="e">
        <f>F163/D163*100</f>
        <v>#DIV/0!</v>
      </c>
      <c r="J163" s="2"/>
      <c r="L163" s="2"/>
    </row>
    <row r="164" spans="1:12" ht="12.75" customHeight="1" hidden="1">
      <c r="A164" s="17" t="s">
        <v>329</v>
      </c>
      <c r="B164" s="48" t="s">
        <v>331</v>
      </c>
      <c r="C164" s="7" t="s">
        <v>437</v>
      </c>
      <c r="D164" s="1"/>
      <c r="E164" s="1">
        <v>0</v>
      </c>
      <c r="F164" s="1"/>
      <c r="G164" s="5">
        <f>F164-L163</f>
        <v>0</v>
      </c>
      <c r="H164" s="4">
        <f>F164-D164</f>
        <v>0</v>
      </c>
      <c r="I164" s="1" t="e">
        <f>F164/D164*100</f>
        <v>#DIV/0!</v>
      </c>
      <c r="J164" s="2"/>
      <c r="L164" s="2"/>
    </row>
    <row r="165" spans="1:12" ht="11.25" customHeight="1" hidden="1">
      <c r="A165" s="25"/>
      <c r="B165" s="51"/>
      <c r="C165" s="7"/>
      <c r="D165" s="10"/>
      <c r="E165" s="10"/>
      <c r="F165" s="10"/>
      <c r="G165" s="8"/>
      <c r="H165" s="8"/>
      <c r="I165" s="10"/>
      <c r="J165" s="2"/>
      <c r="L165" s="2"/>
    </row>
    <row r="166" spans="1:12" ht="14.25" customHeight="1" hidden="1">
      <c r="A166" s="17" t="s">
        <v>329</v>
      </c>
      <c r="B166" s="48" t="s">
        <v>331</v>
      </c>
      <c r="C166" s="7" t="s">
        <v>5</v>
      </c>
      <c r="D166" s="6"/>
      <c r="E166" s="1"/>
      <c r="F166" s="1"/>
      <c r="G166" s="5"/>
      <c r="H166" s="4">
        <f aca="true" t="shared" si="12" ref="H166:H183">F166-D166</f>
        <v>0</v>
      </c>
      <c r="I166" s="1" t="e">
        <f aca="true" t="shared" si="13" ref="I166:I183">F166/D166*100</f>
        <v>#DIV/0!</v>
      </c>
      <c r="J166" s="2"/>
      <c r="L166" s="2"/>
    </row>
    <row r="167" spans="1:12" ht="13.5" customHeight="1" hidden="1">
      <c r="A167" s="17" t="s">
        <v>329</v>
      </c>
      <c r="B167" s="48" t="s">
        <v>331</v>
      </c>
      <c r="C167" s="7" t="s">
        <v>4</v>
      </c>
      <c r="D167" s="6"/>
      <c r="E167" s="1">
        <v>0.3</v>
      </c>
      <c r="F167" s="1"/>
      <c r="G167" s="5">
        <f>F167-L165</f>
        <v>0</v>
      </c>
      <c r="H167" s="4">
        <f t="shared" si="12"/>
        <v>0</v>
      </c>
      <c r="I167" s="1" t="e">
        <f t="shared" si="13"/>
        <v>#DIV/0!</v>
      </c>
      <c r="J167" s="2"/>
      <c r="L167" s="2"/>
    </row>
    <row r="168" spans="1:12" ht="12.75" customHeight="1" hidden="1">
      <c r="A168" s="17" t="s">
        <v>329</v>
      </c>
      <c r="B168" s="48" t="s">
        <v>331</v>
      </c>
      <c r="C168" s="7" t="s">
        <v>450</v>
      </c>
      <c r="D168" s="11">
        <v>0</v>
      </c>
      <c r="E168" s="1">
        <v>2.5</v>
      </c>
      <c r="F168" s="1">
        <v>0</v>
      </c>
      <c r="G168" s="5">
        <f>F168-L167</f>
        <v>0</v>
      </c>
      <c r="H168" s="4">
        <f t="shared" si="12"/>
        <v>0</v>
      </c>
      <c r="I168" s="1" t="e">
        <f t="shared" si="13"/>
        <v>#DIV/0!</v>
      </c>
      <c r="J168" s="2"/>
      <c r="L168" s="2"/>
    </row>
    <row r="169" spans="1:12" ht="13.5" customHeight="1" hidden="1">
      <c r="A169" s="17" t="s">
        <v>329</v>
      </c>
      <c r="B169" s="48" t="s">
        <v>331</v>
      </c>
      <c r="C169" s="7" t="s">
        <v>477</v>
      </c>
      <c r="D169" s="6"/>
      <c r="E169" s="1">
        <v>50</v>
      </c>
      <c r="F169" s="1">
        <v>0</v>
      </c>
      <c r="G169" s="5">
        <f>F169-L168</f>
        <v>0</v>
      </c>
      <c r="H169" s="4">
        <f t="shared" si="12"/>
        <v>0</v>
      </c>
      <c r="I169" s="1" t="e">
        <f t="shared" si="13"/>
        <v>#DIV/0!</v>
      </c>
      <c r="J169" s="2"/>
      <c r="L169" s="2"/>
    </row>
    <row r="170" spans="1:12" ht="12" customHeight="1" hidden="1">
      <c r="A170" s="17" t="s">
        <v>329</v>
      </c>
      <c r="B170" s="48" t="s">
        <v>330</v>
      </c>
      <c r="C170" s="7" t="s">
        <v>364</v>
      </c>
      <c r="D170" s="6"/>
      <c r="E170" s="1"/>
      <c r="F170" s="1">
        <v>0</v>
      </c>
      <c r="G170" s="5"/>
      <c r="H170" s="4">
        <f t="shared" si="12"/>
        <v>0</v>
      </c>
      <c r="I170" s="1" t="e">
        <f t="shared" si="13"/>
        <v>#DIV/0!</v>
      </c>
      <c r="J170" s="2"/>
      <c r="L170" s="2"/>
    </row>
    <row r="171" spans="1:12" ht="21" customHeight="1" hidden="1">
      <c r="A171" s="17"/>
      <c r="B171" s="48" t="s">
        <v>80</v>
      </c>
      <c r="C171" s="7" t="s">
        <v>81</v>
      </c>
      <c r="D171" s="6"/>
      <c r="E171" s="1"/>
      <c r="F171" s="1">
        <v>0</v>
      </c>
      <c r="G171" s="5"/>
      <c r="H171" s="4">
        <f t="shared" si="12"/>
        <v>0</v>
      </c>
      <c r="I171" s="1" t="e">
        <f t="shared" si="13"/>
        <v>#DIV/0!</v>
      </c>
      <c r="J171" s="2"/>
      <c r="L171" s="2"/>
    </row>
    <row r="172" spans="1:12" ht="48.75" customHeight="1">
      <c r="A172" s="17" t="s">
        <v>332</v>
      </c>
      <c r="B172" s="48" t="s">
        <v>467</v>
      </c>
      <c r="C172" s="7" t="s">
        <v>227</v>
      </c>
      <c r="D172" s="6">
        <v>119</v>
      </c>
      <c r="E172" s="1"/>
      <c r="F172" s="1">
        <v>23.6154</v>
      </c>
      <c r="G172" s="5"/>
      <c r="H172" s="4">
        <f t="shared" si="12"/>
        <v>-95.3846</v>
      </c>
      <c r="I172" s="1">
        <f t="shared" si="13"/>
        <v>19.844873949579835</v>
      </c>
      <c r="J172" s="2"/>
      <c r="L172" s="2"/>
    </row>
    <row r="173" spans="1:12" ht="63">
      <c r="A173" s="17" t="s">
        <v>332</v>
      </c>
      <c r="B173" s="48" t="s">
        <v>467</v>
      </c>
      <c r="C173" s="7" t="s">
        <v>212</v>
      </c>
      <c r="D173" s="6">
        <v>15</v>
      </c>
      <c r="E173" s="1"/>
      <c r="F173" s="1">
        <v>4.75905</v>
      </c>
      <c r="G173" s="5"/>
      <c r="H173" s="4">
        <f t="shared" si="12"/>
        <v>-10.24095</v>
      </c>
      <c r="I173" s="1">
        <f t="shared" si="13"/>
        <v>31.727</v>
      </c>
      <c r="J173" s="2"/>
      <c r="L173" s="2"/>
    </row>
    <row r="174" spans="1:12" ht="63">
      <c r="A174" s="17"/>
      <c r="B174" s="48" t="s">
        <v>467</v>
      </c>
      <c r="C174" s="7" t="s">
        <v>228</v>
      </c>
      <c r="D174" s="6">
        <v>70</v>
      </c>
      <c r="E174" s="1"/>
      <c r="F174" s="1">
        <v>1.65961</v>
      </c>
      <c r="G174" s="5"/>
      <c r="H174" s="4">
        <f t="shared" si="12"/>
        <v>-68.34039</v>
      </c>
      <c r="I174" s="1">
        <f t="shared" si="13"/>
        <v>2.3708714285714287</v>
      </c>
      <c r="J174" s="2"/>
      <c r="L174" s="2"/>
    </row>
    <row r="175" spans="1:12" ht="78.75">
      <c r="A175" s="17"/>
      <c r="B175" s="48" t="s">
        <v>467</v>
      </c>
      <c r="C175" s="7" t="s">
        <v>213</v>
      </c>
      <c r="D175" s="6">
        <v>15</v>
      </c>
      <c r="E175" s="1"/>
      <c r="F175" s="1">
        <v>4.99939</v>
      </c>
      <c r="G175" s="5"/>
      <c r="H175" s="4">
        <f t="shared" si="12"/>
        <v>-10.00061</v>
      </c>
      <c r="I175" s="1">
        <f t="shared" si="13"/>
        <v>33.32926666666667</v>
      </c>
      <c r="J175" s="2"/>
      <c r="L175" s="2"/>
    </row>
    <row r="176" spans="1:12" ht="63">
      <c r="A176" s="17"/>
      <c r="B176" s="48" t="s">
        <v>467</v>
      </c>
      <c r="C176" s="7" t="s">
        <v>214</v>
      </c>
      <c r="D176" s="6">
        <v>45</v>
      </c>
      <c r="E176" s="1"/>
      <c r="F176" s="1">
        <v>12.05127</v>
      </c>
      <c r="G176" s="5"/>
      <c r="H176" s="4">
        <f t="shared" si="12"/>
        <v>-32.94873</v>
      </c>
      <c r="I176" s="1">
        <f t="shared" si="13"/>
        <v>26.7806</v>
      </c>
      <c r="J176" s="2"/>
      <c r="L176" s="2"/>
    </row>
    <row r="177" spans="1:12" ht="78.75">
      <c r="A177" s="17"/>
      <c r="B177" s="48" t="s">
        <v>467</v>
      </c>
      <c r="C177" s="7" t="s">
        <v>215</v>
      </c>
      <c r="D177" s="6">
        <v>32</v>
      </c>
      <c r="E177" s="1"/>
      <c r="F177" s="1">
        <v>0</v>
      </c>
      <c r="G177" s="5"/>
      <c r="H177" s="4">
        <f t="shared" si="12"/>
        <v>-32</v>
      </c>
      <c r="I177" s="1">
        <f t="shared" si="13"/>
        <v>0</v>
      </c>
      <c r="J177" s="2"/>
      <c r="L177" s="2"/>
    </row>
    <row r="178" spans="1:12" ht="78.75">
      <c r="A178" s="17"/>
      <c r="B178" s="48" t="s">
        <v>467</v>
      </c>
      <c r="C178" s="7" t="s">
        <v>229</v>
      </c>
      <c r="D178" s="6">
        <v>110</v>
      </c>
      <c r="E178" s="1"/>
      <c r="F178" s="1">
        <v>0</v>
      </c>
      <c r="G178" s="5"/>
      <c r="H178" s="4">
        <f t="shared" si="12"/>
        <v>-110</v>
      </c>
      <c r="I178" s="1">
        <f t="shared" si="13"/>
        <v>0</v>
      </c>
      <c r="J178" s="2"/>
      <c r="L178" s="2"/>
    </row>
    <row r="179" spans="1:12" ht="78.75">
      <c r="A179" s="17"/>
      <c r="B179" s="48" t="s">
        <v>467</v>
      </c>
      <c r="C179" s="7" t="s">
        <v>79</v>
      </c>
      <c r="D179" s="6">
        <v>34.6</v>
      </c>
      <c r="E179" s="1"/>
      <c r="F179" s="1">
        <v>0</v>
      </c>
      <c r="G179" s="5"/>
      <c r="H179" s="4">
        <f t="shared" si="12"/>
        <v>-34.6</v>
      </c>
      <c r="I179" s="1">
        <f t="shared" si="13"/>
        <v>0</v>
      </c>
      <c r="J179" s="2"/>
      <c r="L179" s="2"/>
    </row>
    <row r="180" spans="1:12" ht="14.25" customHeight="1">
      <c r="A180" s="17" t="s">
        <v>332</v>
      </c>
      <c r="B180" s="48" t="s">
        <v>331</v>
      </c>
      <c r="C180" s="7" t="s">
        <v>216</v>
      </c>
      <c r="D180" s="6">
        <v>131.67134</v>
      </c>
      <c r="E180" s="1"/>
      <c r="F180" s="1">
        <v>39.97639</v>
      </c>
      <c r="G180" s="5"/>
      <c r="H180" s="4">
        <f t="shared" si="12"/>
        <v>-91.69494999999998</v>
      </c>
      <c r="I180" s="1">
        <f t="shared" si="13"/>
        <v>30.36073757584605</v>
      </c>
      <c r="J180" s="2"/>
      <c r="L180" s="2"/>
    </row>
    <row r="181" spans="1:12" ht="13.5" customHeight="1" hidden="1">
      <c r="A181" s="17"/>
      <c r="B181" s="48" t="s">
        <v>467</v>
      </c>
      <c r="C181" s="7" t="s">
        <v>16</v>
      </c>
      <c r="D181" s="6"/>
      <c r="E181" s="1"/>
      <c r="F181" s="1">
        <v>0</v>
      </c>
      <c r="G181" s="5"/>
      <c r="H181" s="4">
        <f t="shared" si="12"/>
        <v>0</v>
      </c>
      <c r="I181" s="1" t="e">
        <f t="shared" si="13"/>
        <v>#DIV/0!</v>
      </c>
      <c r="J181" s="2"/>
      <c r="L181" s="2"/>
    </row>
    <row r="182" spans="1:12" ht="15.75">
      <c r="A182" s="90"/>
      <c r="B182" s="64"/>
      <c r="C182" s="55" t="s">
        <v>419</v>
      </c>
      <c r="D182" s="6">
        <f>D12+D22+D23+D40+D115+D122+D129+D134+D140+D143+D149+D156+D159</f>
        <v>124584.99364</v>
      </c>
      <c r="E182" s="6">
        <f>E12+E22+E23+E40+E115+E122+E129+E134+E140+E143+E149+E156+E159</f>
        <v>36216.49999999999</v>
      </c>
      <c r="F182" s="6">
        <f>F12+F22+F23+F40+F115+F122+F129+F134+F140+F143+F149+F156+F159</f>
        <v>37470.64435</v>
      </c>
      <c r="G182" s="6" t="e">
        <f>G12+G23+G38+G40+G115+G122+G129+G134+G139+G141+G143+G147+G151+G157+G158+G160+G161+G163+G162+G164+G165+G167+G168+G169</f>
        <v>#REF!</v>
      </c>
      <c r="H182" s="5">
        <f t="shared" si="12"/>
        <v>-87114.34929</v>
      </c>
      <c r="I182" s="6">
        <f t="shared" si="13"/>
        <v>30.07637056054675</v>
      </c>
      <c r="J182" s="2"/>
      <c r="L182" s="37"/>
    </row>
    <row r="183" spans="1:12" ht="18.75" customHeight="1">
      <c r="A183" s="90" t="s">
        <v>332</v>
      </c>
      <c r="B183" s="64" t="s">
        <v>333</v>
      </c>
      <c r="C183" s="55" t="s">
        <v>420</v>
      </c>
      <c r="D183" s="6">
        <v>42313.4</v>
      </c>
      <c r="E183" s="6">
        <v>10216.7</v>
      </c>
      <c r="F183" s="5">
        <v>13151.8558</v>
      </c>
      <c r="G183" s="5">
        <f>F183-L182</f>
        <v>13151.8558</v>
      </c>
      <c r="H183" s="5">
        <f t="shared" si="12"/>
        <v>-29161.544200000004</v>
      </c>
      <c r="I183" s="6">
        <f t="shared" si="13"/>
        <v>31.082011372283958</v>
      </c>
      <c r="J183" s="2"/>
      <c r="L183" s="2"/>
    </row>
    <row r="184" spans="1:12" ht="33.75" customHeight="1">
      <c r="A184" s="90"/>
      <c r="B184" s="64" t="s">
        <v>131</v>
      </c>
      <c r="C184" s="55" t="s">
        <v>404</v>
      </c>
      <c r="D184" s="6">
        <v>135.012</v>
      </c>
      <c r="E184" s="6"/>
      <c r="F184" s="5">
        <v>135.0154</v>
      </c>
      <c r="G184" s="5"/>
      <c r="H184" s="5">
        <f>F184-D184</f>
        <v>0.0033999999999991815</v>
      </c>
      <c r="I184" s="6">
        <f>F184/D184*100</f>
        <v>100.00251829467011</v>
      </c>
      <c r="J184" s="2"/>
      <c r="L184" s="2"/>
    </row>
    <row r="185" spans="1:12" ht="15.75">
      <c r="A185" s="90"/>
      <c r="B185" s="90"/>
      <c r="C185" s="55" t="s">
        <v>289</v>
      </c>
      <c r="D185" s="6">
        <f>SUM(D182:D184)</f>
        <v>167033.40563999998</v>
      </c>
      <c r="E185" s="6">
        <f>SUM(E182:E184)</f>
        <v>46433.2</v>
      </c>
      <c r="F185" s="6">
        <f>SUM(F182:F184)</f>
        <v>50757.51555</v>
      </c>
      <c r="G185" s="6" t="e">
        <f>G182+G183</f>
        <v>#REF!</v>
      </c>
      <c r="H185" s="5">
        <f>F185-D185</f>
        <v>-116275.89008999999</v>
      </c>
      <c r="I185" s="6">
        <f>F185/D185*100</f>
        <v>30.387643331295966</v>
      </c>
      <c r="J185" s="58"/>
      <c r="L185" s="29"/>
    </row>
    <row r="186" spans="1:12" ht="15.75">
      <c r="A186" s="111"/>
      <c r="B186" s="111"/>
      <c r="C186" s="111"/>
      <c r="D186" s="111"/>
      <c r="E186" s="111"/>
      <c r="F186" s="111"/>
      <c r="G186" s="111"/>
      <c r="H186" s="111"/>
      <c r="I186" s="112"/>
      <c r="J186" s="58"/>
      <c r="L186" s="29"/>
    </row>
    <row r="187" spans="1:12" ht="15.75">
      <c r="A187" s="91"/>
      <c r="B187" s="92"/>
      <c r="C187" s="93" t="s">
        <v>475</v>
      </c>
      <c r="D187" s="71">
        <f>D188+D190+D201+D205+D218+D224+D226+D230+D234+D238+D241+D244+D250+D189</f>
        <v>25837.850569999995</v>
      </c>
      <c r="E187" s="71">
        <f>E188+E190+E201+E205+E218+E224+E226+E230+E234+E238+E241+E244+E250+E189</f>
        <v>116</v>
      </c>
      <c r="F187" s="71">
        <f>F188+F190+F201+F205+F218+F224+F226+F230+F234+F238+F241+F244+F250+F189</f>
        <v>3873.1709599999995</v>
      </c>
      <c r="G187" s="13"/>
      <c r="H187" s="5">
        <f aca="true" t="shared" si="14" ref="H187:H192">F187-D187</f>
        <v>-21964.679609999996</v>
      </c>
      <c r="I187" s="6">
        <f aca="true" t="shared" si="15" ref="I187:I192">F187/D187*100</f>
        <v>14.990298629937469</v>
      </c>
      <c r="J187" s="58"/>
      <c r="L187" s="29"/>
    </row>
    <row r="188" spans="1:12" ht="30.75" customHeight="1">
      <c r="A188" s="94"/>
      <c r="B188" s="95" t="s">
        <v>237</v>
      </c>
      <c r="C188" s="96" t="s">
        <v>90</v>
      </c>
      <c r="D188" s="71">
        <v>653.01589</v>
      </c>
      <c r="E188" s="71"/>
      <c r="F188" s="71">
        <v>55.01589</v>
      </c>
      <c r="G188" s="13"/>
      <c r="H188" s="5">
        <f t="shared" si="14"/>
        <v>-598</v>
      </c>
      <c r="I188" s="6">
        <f t="shared" si="15"/>
        <v>8.424892999158105</v>
      </c>
      <c r="J188" s="58"/>
      <c r="L188" s="29"/>
    </row>
    <row r="189" spans="1:12" ht="72" customHeight="1">
      <c r="A189" s="94"/>
      <c r="B189" s="95" t="s">
        <v>230</v>
      </c>
      <c r="C189" s="96" t="s">
        <v>236</v>
      </c>
      <c r="D189" s="76">
        <v>60</v>
      </c>
      <c r="E189" s="76"/>
      <c r="F189" s="76">
        <v>0</v>
      </c>
      <c r="G189" s="101"/>
      <c r="H189" s="5">
        <f t="shared" si="14"/>
        <v>-60</v>
      </c>
      <c r="I189" s="73">
        <f t="shared" si="15"/>
        <v>0</v>
      </c>
      <c r="J189" s="58"/>
      <c r="L189" s="29"/>
    </row>
    <row r="190" spans="1:12" ht="34.5" customHeight="1">
      <c r="A190" s="97"/>
      <c r="B190" s="102" t="s">
        <v>298</v>
      </c>
      <c r="C190" s="98" t="s">
        <v>458</v>
      </c>
      <c r="D190" s="76">
        <f>D191+D193+D196+D194+D199+D192+D195+D197+D198+D200</f>
        <v>1953.5008799999998</v>
      </c>
      <c r="E190" s="76">
        <f>E191+E193+E196+E194+E199+E192+E195+E197+E198+E200</f>
        <v>0</v>
      </c>
      <c r="F190" s="76">
        <f>F191+F193+F196+F194+F199+F192+F195+F197+F198+F200</f>
        <v>531.97588</v>
      </c>
      <c r="G190" s="68"/>
      <c r="H190" s="68">
        <f t="shared" si="14"/>
        <v>-1421.5249999999999</v>
      </c>
      <c r="I190" s="73">
        <f t="shared" si="15"/>
        <v>27.231924256926877</v>
      </c>
      <c r="J190" s="58"/>
      <c r="L190" s="29"/>
    </row>
    <row r="191" spans="1:12" ht="31.5">
      <c r="A191" s="97"/>
      <c r="B191" s="75" t="s">
        <v>356</v>
      </c>
      <c r="C191" s="63" t="s">
        <v>284</v>
      </c>
      <c r="D191" s="76">
        <v>1255.37949</v>
      </c>
      <c r="E191" s="76"/>
      <c r="F191" s="76">
        <v>66.01349</v>
      </c>
      <c r="G191" s="68"/>
      <c r="H191" s="68">
        <f t="shared" si="14"/>
        <v>-1189.366</v>
      </c>
      <c r="I191" s="73">
        <f t="shared" si="15"/>
        <v>5.258448981032819</v>
      </c>
      <c r="J191" s="58"/>
      <c r="L191" s="29"/>
    </row>
    <row r="192" spans="1:12" ht="80.25" customHeight="1">
      <c r="A192" s="27"/>
      <c r="B192" s="75" t="s">
        <v>356</v>
      </c>
      <c r="C192" s="63" t="s">
        <v>82</v>
      </c>
      <c r="D192" s="76">
        <v>0.31044</v>
      </c>
      <c r="E192" s="76"/>
      <c r="F192" s="76">
        <v>0.31044</v>
      </c>
      <c r="G192" s="68"/>
      <c r="H192" s="68">
        <f t="shared" si="14"/>
        <v>0</v>
      </c>
      <c r="I192" s="73">
        <f t="shared" si="15"/>
        <v>100</v>
      </c>
      <c r="J192" s="58"/>
      <c r="L192" s="29"/>
    </row>
    <row r="193" spans="1:12" ht="0.75" customHeight="1" hidden="1">
      <c r="A193" s="27"/>
      <c r="B193" s="75" t="s">
        <v>356</v>
      </c>
      <c r="C193" s="63" t="s">
        <v>86</v>
      </c>
      <c r="D193" s="76"/>
      <c r="E193" s="76"/>
      <c r="F193" s="76"/>
      <c r="G193" s="68"/>
      <c r="H193" s="68"/>
      <c r="I193" s="73"/>
      <c r="J193" s="58"/>
      <c r="L193" s="29"/>
    </row>
    <row r="194" spans="1:12" ht="32.25" customHeight="1">
      <c r="A194" s="27"/>
      <c r="B194" s="75" t="s">
        <v>358</v>
      </c>
      <c r="C194" s="63" t="s">
        <v>285</v>
      </c>
      <c r="D194" s="76">
        <v>582.28567</v>
      </c>
      <c r="E194" s="76"/>
      <c r="F194" s="76">
        <v>355.51567</v>
      </c>
      <c r="G194" s="68"/>
      <c r="H194" s="68">
        <f aca="true" t="shared" si="16" ref="H194:H258">F194-D194</f>
        <v>-226.76999999999998</v>
      </c>
      <c r="I194" s="73">
        <f aca="true" t="shared" si="17" ref="I194:I258">F194/D194*100</f>
        <v>61.05519821567994</v>
      </c>
      <c r="J194" s="58"/>
      <c r="L194" s="29"/>
    </row>
    <row r="195" spans="1:12" ht="80.25" customHeight="1">
      <c r="A195" s="27"/>
      <c r="B195" s="75" t="s">
        <v>358</v>
      </c>
      <c r="C195" s="63" t="s">
        <v>82</v>
      </c>
      <c r="D195" s="76">
        <v>79.77628</v>
      </c>
      <c r="E195" s="76"/>
      <c r="F195" s="76">
        <v>79.77628</v>
      </c>
      <c r="G195" s="68"/>
      <c r="H195" s="68">
        <f t="shared" si="16"/>
        <v>0</v>
      </c>
      <c r="I195" s="73">
        <f t="shared" si="17"/>
        <v>100</v>
      </c>
      <c r="J195" s="58"/>
      <c r="L195" s="29"/>
    </row>
    <row r="196" spans="1:12" ht="0.75" customHeight="1" hidden="1">
      <c r="A196" s="27"/>
      <c r="B196" s="75" t="s">
        <v>358</v>
      </c>
      <c r="C196" s="63" t="s">
        <v>86</v>
      </c>
      <c r="D196" s="76"/>
      <c r="E196" s="76"/>
      <c r="F196" s="76"/>
      <c r="G196" s="68"/>
      <c r="H196" s="68">
        <f t="shared" si="16"/>
        <v>0</v>
      </c>
      <c r="I196" s="73" t="e">
        <f t="shared" si="17"/>
        <v>#DIV/0!</v>
      </c>
      <c r="J196" s="58"/>
      <c r="L196" s="29"/>
    </row>
    <row r="197" spans="1:12" ht="20.25" customHeight="1">
      <c r="A197" s="27"/>
      <c r="B197" s="75" t="s">
        <v>375</v>
      </c>
      <c r="C197" s="63" t="s">
        <v>46</v>
      </c>
      <c r="D197" s="76">
        <v>9.98</v>
      </c>
      <c r="E197" s="76"/>
      <c r="F197" s="76">
        <v>9.98</v>
      </c>
      <c r="G197" s="68"/>
      <c r="H197" s="69">
        <f>F197-D197</f>
        <v>0</v>
      </c>
      <c r="I197" s="70">
        <f>F197/D197*100</f>
        <v>100</v>
      </c>
      <c r="J197" s="58"/>
      <c r="L197" s="29"/>
    </row>
    <row r="198" spans="1:12" ht="31.5">
      <c r="A198" s="27"/>
      <c r="B198" s="75" t="s">
        <v>376</v>
      </c>
      <c r="C198" s="63" t="s">
        <v>92</v>
      </c>
      <c r="D198" s="76">
        <v>7.04</v>
      </c>
      <c r="E198" s="76"/>
      <c r="F198" s="76">
        <v>7.04</v>
      </c>
      <c r="G198" s="68"/>
      <c r="H198" s="69">
        <f>F198-D198</f>
        <v>0</v>
      </c>
      <c r="I198" s="70">
        <f>F198/D198*100</f>
        <v>100</v>
      </c>
      <c r="J198" s="58"/>
      <c r="L198" s="29"/>
    </row>
    <row r="199" spans="1:12" ht="51" customHeight="1">
      <c r="A199" s="27"/>
      <c r="B199" s="66" t="s">
        <v>377</v>
      </c>
      <c r="C199" s="18" t="s">
        <v>286</v>
      </c>
      <c r="D199" s="67">
        <v>13.34</v>
      </c>
      <c r="E199" s="67"/>
      <c r="F199" s="67">
        <v>13.34</v>
      </c>
      <c r="G199" s="68"/>
      <c r="H199" s="69">
        <f t="shared" si="16"/>
        <v>0</v>
      </c>
      <c r="I199" s="70">
        <f t="shared" si="17"/>
        <v>100</v>
      </c>
      <c r="J199" s="58"/>
      <c r="L199" s="29"/>
    </row>
    <row r="200" spans="1:12" ht="31.5">
      <c r="A200" s="27"/>
      <c r="B200" s="66" t="s">
        <v>434</v>
      </c>
      <c r="C200" s="18" t="s">
        <v>108</v>
      </c>
      <c r="D200" s="67">
        <v>5.389</v>
      </c>
      <c r="E200" s="67"/>
      <c r="F200" s="67">
        <v>0</v>
      </c>
      <c r="G200" s="68"/>
      <c r="H200" s="69">
        <f>F200-D200</f>
        <v>-5.389</v>
      </c>
      <c r="I200" s="70">
        <f>F200/D200*100</f>
        <v>0</v>
      </c>
      <c r="J200" s="58"/>
      <c r="L200" s="29"/>
    </row>
    <row r="201" spans="1:12" ht="15.75">
      <c r="A201" s="27"/>
      <c r="B201" s="75" t="s">
        <v>83</v>
      </c>
      <c r="C201" s="74" t="s">
        <v>283</v>
      </c>
      <c r="D201" s="76">
        <f>D202+D204+D203</f>
        <v>199.56033000000002</v>
      </c>
      <c r="E201" s="76">
        <f>E202+E204</f>
        <v>0</v>
      </c>
      <c r="F201" s="76">
        <f>F202+F204+F203</f>
        <v>199.56034</v>
      </c>
      <c r="G201" s="68"/>
      <c r="H201" s="69">
        <f>F201-D201</f>
        <v>9.999999974752427E-06</v>
      </c>
      <c r="I201" s="70">
        <f>F201/D201*100</f>
        <v>100.00000501101596</v>
      </c>
      <c r="J201" s="58"/>
      <c r="L201" s="29"/>
    </row>
    <row r="202" spans="1:12" ht="47.25">
      <c r="A202" s="27"/>
      <c r="B202" s="75" t="s">
        <v>365</v>
      </c>
      <c r="C202" s="74" t="s">
        <v>87</v>
      </c>
      <c r="D202" s="76">
        <v>63.32148</v>
      </c>
      <c r="E202" s="76"/>
      <c r="F202" s="76">
        <v>63.32149</v>
      </c>
      <c r="G202" s="68"/>
      <c r="H202" s="69">
        <f>F202-D202</f>
        <v>9.999999996068709E-06</v>
      </c>
      <c r="I202" s="70">
        <f>F202/D202*100</f>
        <v>100.00001579242937</v>
      </c>
      <c r="J202" s="58"/>
      <c r="L202" s="29"/>
    </row>
    <row r="203" spans="1:12" ht="63" hidden="1">
      <c r="A203" s="27"/>
      <c r="B203" s="75" t="s">
        <v>19</v>
      </c>
      <c r="C203" s="55" t="s">
        <v>238</v>
      </c>
      <c r="D203" s="76"/>
      <c r="E203" s="76"/>
      <c r="F203" s="76"/>
      <c r="G203" s="68"/>
      <c r="H203" s="68">
        <f>F203-D203</f>
        <v>0</v>
      </c>
      <c r="I203" s="73" t="e">
        <f>F203/D203*100</f>
        <v>#DIV/0!</v>
      </c>
      <c r="J203" s="58"/>
      <c r="L203" s="29"/>
    </row>
    <row r="204" spans="1:12" ht="78.75">
      <c r="A204" s="27"/>
      <c r="B204" s="75" t="s">
        <v>312</v>
      </c>
      <c r="C204" s="63" t="s">
        <v>82</v>
      </c>
      <c r="D204" s="76">
        <v>136.23885</v>
      </c>
      <c r="E204" s="76"/>
      <c r="F204" s="76">
        <v>136.23885</v>
      </c>
      <c r="G204" s="68"/>
      <c r="H204" s="68">
        <f t="shared" si="16"/>
        <v>0</v>
      </c>
      <c r="I204" s="73">
        <f t="shared" si="17"/>
        <v>100</v>
      </c>
      <c r="J204" s="58"/>
      <c r="L204" s="29"/>
    </row>
    <row r="205" spans="1:12" ht="15.75">
      <c r="A205" s="27"/>
      <c r="B205" s="64" t="s">
        <v>317</v>
      </c>
      <c r="C205" s="74" t="s">
        <v>287</v>
      </c>
      <c r="D205" s="71">
        <f>D206+D207+D208+D209+D210+D211+D212+D213+D214+D215+D216+D217</f>
        <v>12152.62917</v>
      </c>
      <c r="E205" s="71">
        <f>E206+E207+E208+E209+E211+E212+E213+E214+E215+E216</f>
        <v>0</v>
      </c>
      <c r="F205" s="71">
        <f>F206+F207+F208+F209+F211+F212+F213+F214+F215+F216+F210</f>
        <v>1508.6967299999997</v>
      </c>
      <c r="G205" s="5"/>
      <c r="H205" s="68">
        <f t="shared" si="16"/>
        <v>-10643.93244</v>
      </c>
      <c r="I205" s="73">
        <f t="shared" si="17"/>
        <v>12.414570615915533</v>
      </c>
      <c r="J205" s="58"/>
      <c r="L205" s="29"/>
    </row>
    <row r="206" spans="1:12" ht="63">
      <c r="A206" s="27"/>
      <c r="B206" s="48" t="s">
        <v>319</v>
      </c>
      <c r="C206" s="7" t="s">
        <v>50</v>
      </c>
      <c r="D206" s="61">
        <v>610.28</v>
      </c>
      <c r="E206" s="13"/>
      <c r="F206" s="4">
        <v>191.42722</v>
      </c>
      <c r="G206" s="5"/>
      <c r="H206" s="69">
        <f t="shared" si="16"/>
        <v>-418.85277999999994</v>
      </c>
      <c r="I206" s="70">
        <f t="shared" si="17"/>
        <v>31.367113456118506</v>
      </c>
      <c r="J206" s="58"/>
      <c r="L206" s="29"/>
    </row>
    <row r="207" spans="1:12" ht="69" customHeight="1">
      <c r="A207" s="27"/>
      <c r="B207" s="64" t="s">
        <v>319</v>
      </c>
      <c r="C207" s="7" t="s">
        <v>49</v>
      </c>
      <c r="D207" s="71">
        <v>17.57387</v>
      </c>
      <c r="E207" s="13"/>
      <c r="F207" s="5">
        <v>12.57387</v>
      </c>
      <c r="G207" s="5"/>
      <c r="H207" s="68">
        <f t="shared" si="16"/>
        <v>-5</v>
      </c>
      <c r="I207" s="73">
        <f t="shared" si="17"/>
        <v>71.54866856304274</v>
      </c>
      <c r="J207" s="58"/>
      <c r="L207" s="29"/>
    </row>
    <row r="208" spans="1:12" ht="78.75">
      <c r="A208" s="27"/>
      <c r="B208" s="64" t="s">
        <v>319</v>
      </c>
      <c r="C208" s="63" t="s">
        <v>82</v>
      </c>
      <c r="D208" s="71">
        <v>415.61172</v>
      </c>
      <c r="E208" s="13"/>
      <c r="F208" s="5">
        <v>415.61172</v>
      </c>
      <c r="G208" s="5"/>
      <c r="H208" s="68">
        <f t="shared" si="16"/>
        <v>0</v>
      </c>
      <c r="I208" s="73">
        <f t="shared" si="17"/>
        <v>100</v>
      </c>
      <c r="J208" s="58"/>
      <c r="L208" s="29"/>
    </row>
    <row r="209" spans="1:12" ht="47.25">
      <c r="A209" s="27"/>
      <c r="B209" s="64" t="s">
        <v>40</v>
      </c>
      <c r="C209" s="55" t="s">
        <v>75</v>
      </c>
      <c r="D209" s="71">
        <v>483</v>
      </c>
      <c r="E209" s="13"/>
      <c r="F209" s="5">
        <v>0</v>
      </c>
      <c r="G209" s="5"/>
      <c r="H209" s="68">
        <f t="shared" si="16"/>
        <v>-483</v>
      </c>
      <c r="I209" s="73">
        <f t="shared" si="17"/>
        <v>0</v>
      </c>
      <c r="J209" s="58"/>
      <c r="L209" s="29"/>
    </row>
    <row r="210" spans="1:12" ht="47.25">
      <c r="A210" s="27"/>
      <c r="B210" s="64" t="s">
        <v>40</v>
      </c>
      <c r="C210" s="55" t="s">
        <v>91</v>
      </c>
      <c r="D210" s="71">
        <v>427.99884</v>
      </c>
      <c r="E210" s="13"/>
      <c r="F210" s="5">
        <v>285.31918</v>
      </c>
      <c r="G210" s="5"/>
      <c r="H210" s="68">
        <f>F210-D210</f>
        <v>-142.67965999999996</v>
      </c>
      <c r="I210" s="73">
        <f>F210/D210*100</f>
        <v>66.66354048996956</v>
      </c>
      <c r="J210" s="58"/>
      <c r="L210" s="29"/>
    </row>
    <row r="211" spans="1:12" ht="78.75">
      <c r="A211" s="27"/>
      <c r="B211" s="64" t="s">
        <v>40</v>
      </c>
      <c r="C211" s="63" t="s">
        <v>82</v>
      </c>
      <c r="D211" s="71">
        <v>424.19606</v>
      </c>
      <c r="E211" s="13"/>
      <c r="F211" s="5">
        <v>424.19606</v>
      </c>
      <c r="G211" s="5"/>
      <c r="H211" s="68">
        <f t="shared" si="16"/>
        <v>0</v>
      </c>
      <c r="I211" s="73">
        <f t="shared" si="17"/>
        <v>100</v>
      </c>
      <c r="J211" s="58"/>
      <c r="L211" s="29"/>
    </row>
    <row r="212" spans="1:12" ht="78.75">
      <c r="A212" s="27"/>
      <c r="B212" s="48" t="s">
        <v>15</v>
      </c>
      <c r="C212" s="55" t="s">
        <v>51</v>
      </c>
      <c r="D212" s="12">
        <v>800</v>
      </c>
      <c r="E212" s="13"/>
      <c r="F212" s="4">
        <v>0</v>
      </c>
      <c r="G212" s="5"/>
      <c r="H212" s="69">
        <f t="shared" si="16"/>
        <v>-800</v>
      </c>
      <c r="I212" s="70">
        <f t="shared" si="17"/>
        <v>0</v>
      </c>
      <c r="J212" s="58"/>
      <c r="L212" s="29"/>
    </row>
    <row r="213" spans="1:12" ht="24.75" customHeight="1" hidden="1">
      <c r="A213" s="27"/>
      <c r="B213" s="48" t="s">
        <v>15</v>
      </c>
      <c r="C213" s="55" t="s">
        <v>88</v>
      </c>
      <c r="D213" s="12">
        <v>0</v>
      </c>
      <c r="E213" s="13"/>
      <c r="F213" s="4">
        <v>0</v>
      </c>
      <c r="G213" s="5"/>
      <c r="H213" s="69">
        <f t="shared" si="16"/>
        <v>0</v>
      </c>
      <c r="I213" s="70" t="e">
        <f t="shared" si="17"/>
        <v>#DIV/0!</v>
      </c>
      <c r="J213" s="58"/>
      <c r="L213" s="29"/>
    </row>
    <row r="214" spans="1:12" ht="47.25">
      <c r="A214" s="27"/>
      <c r="B214" s="48" t="s">
        <v>321</v>
      </c>
      <c r="C214" s="7" t="s">
        <v>52</v>
      </c>
      <c r="D214" s="12">
        <v>294.4</v>
      </c>
      <c r="E214" s="13"/>
      <c r="F214" s="4">
        <v>0</v>
      </c>
      <c r="G214" s="5"/>
      <c r="H214" s="69">
        <f t="shared" si="16"/>
        <v>-294.4</v>
      </c>
      <c r="I214" s="70">
        <f t="shared" si="17"/>
        <v>0</v>
      </c>
      <c r="J214" s="58"/>
      <c r="L214" s="29"/>
    </row>
    <row r="215" spans="1:12" ht="78.75">
      <c r="A215" s="27"/>
      <c r="B215" s="64" t="s">
        <v>321</v>
      </c>
      <c r="C215" s="63" t="s">
        <v>82</v>
      </c>
      <c r="D215" s="71">
        <v>129.00614</v>
      </c>
      <c r="E215" s="13"/>
      <c r="F215" s="5">
        <v>129.00614</v>
      </c>
      <c r="G215" s="5"/>
      <c r="H215" s="68">
        <f t="shared" si="16"/>
        <v>0</v>
      </c>
      <c r="I215" s="73">
        <f t="shared" si="17"/>
        <v>100</v>
      </c>
      <c r="J215" s="58"/>
      <c r="L215" s="29"/>
    </row>
    <row r="216" spans="1:12" ht="78.75">
      <c r="A216" s="27"/>
      <c r="B216" s="64" t="s">
        <v>23</v>
      </c>
      <c r="C216" s="55" t="s">
        <v>84</v>
      </c>
      <c r="D216" s="71">
        <v>50.56254</v>
      </c>
      <c r="E216" s="13"/>
      <c r="F216" s="5">
        <v>50.56254</v>
      </c>
      <c r="G216" s="5"/>
      <c r="H216" s="68">
        <f t="shared" si="16"/>
        <v>0</v>
      </c>
      <c r="I216" s="73">
        <f t="shared" si="17"/>
        <v>100</v>
      </c>
      <c r="J216" s="58"/>
      <c r="L216" s="29"/>
    </row>
    <row r="217" spans="1:12" ht="63">
      <c r="A217" s="27"/>
      <c r="B217" s="64" t="s">
        <v>93</v>
      </c>
      <c r="C217" s="55" t="s">
        <v>94</v>
      </c>
      <c r="D217" s="71">
        <v>8500</v>
      </c>
      <c r="E217" s="13"/>
      <c r="F217" s="5">
        <v>0</v>
      </c>
      <c r="G217" s="5"/>
      <c r="H217" s="68">
        <f>F217-D217</f>
        <v>-8500</v>
      </c>
      <c r="I217" s="73">
        <f>F217/D217*100</f>
        <v>0</v>
      </c>
      <c r="J217" s="58"/>
      <c r="L217" s="29"/>
    </row>
    <row r="218" spans="1:12" ht="31.5" customHeight="1">
      <c r="A218" s="22" t="s">
        <v>328</v>
      </c>
      <c r="B218" s="72" t="s">
        <v>335</v>
      </c>
      <c r="C218" s="63" t="s">
        <v>242</v>
      </c>
      <c r="D218" s="71">
        <f>D219+D220+D223+D222+D221</f>
        <v>304.269</v>
      </c>
      <c r="E218" s="71">
        <f>E219+E220+E223+E222+E221</f>
        <v>0</v>
      </c>
      <c r="F218" s="71">
        <f>F219+F220+F223+F222+F221</f>
        <v>17.598</v>
      </c>
      <c r="G218" s="5" t="e">
        <f>F218-#REF!</f>
        <v>#REF!</v>
      </c>
      <c r="H218" s="68">
        <f t="shared" si="16"/>
        <v>-286.671</v>
      </c>
      <c r="I218" s="73">
        <f t="shared" si="17"/>
        <v>5.783697977776243</v>
      </c>
      <c r="J218" s="58"/>
      <c r="L218" s="29"/>
    </row>
    <row r="219" spans="1:12" ht="20.25" customHeight="1">
      <c r="A219" s="17" t="s">
        <v>343</v>
      </c>
      <c r="B219" s="48" t="s">
        <v>444</v>
      </c>
      <c r="C219" s="24" t="s">
        <v>243</v>
      </c>
      <c r="D219" s="12">
        <v>24.7</v>
      </c>
      <c r="E219" s="13"/>
      <c r="F219" s="4">
        <v>4.7</v>
      </c>
      <c r="G219" s="5"/>
      <c r="H219" s="69">
        <f t="shared" si="16"/>
        <v>-20</v>
      </c>
      <c r="I219" s="70">
        <f t="shared" si="17"/>
        <v>19.028340080971663</v>
      </c>
      <c r="J219" s="58"/>
      <c r="L219" s="29"/>
    </row>
    <row r="220" spans="1:12" ht="17.25" customHeight="1">
      <c r="A220" s="17" t="s">
        <v>359</v>
      </c>
      <c r="B220" s="48" t="s">
        <v>445</v>
      </c>
      <c r="C220" s="24" t="s">
        <v>244</v>
      </c>
      <c r="D220" s="12">
        <v>11.369</v>
      </c>
      <c r="E220" s="13"/>
      <c r="F220" s="4">
        <v>6.369</v>
      </c>
      <c r="G220" s="5"/>
      <c r="H220" s="69">
        <f t="shared" si="16"/>
        <v>-5</v>
      </c>
      <c r="I220" s="70">
        <f t="shared" si="17"/>
        <v>56.0207582021286</v>
      </c>
      <c r="J220" s="58"/>
      <c r="L220" s="29"/>
    </row>
    <row r="221" spans="1:12" ht="36" customHeight="1">
      <c r="A221" s="17"/>
      <c r="B221" s="48" t="s">
        <v>446</v>
      </c>
      <c r="C221" s="24" t="s">
        <v>205</v>
      </c>
      <c r="D221" s="12">
        <v>253.2</v>
      </c>
      <c r="E221" s="13"/>
      <c r="F221" s="4">
        <v>0</v>
      </c>
      <c r="G221" s="5"/>
      <c r="H221" s="69">
        <f t="shared" si="16"/>
        <v>-253.2</v>
      </c>
      <c r="I221" s="70">
        <f t="shared" si="17"/>
        <v>0</v>
      </c>
      <c r="J221" s="58"/>
      <c r="L221" s="29"/>
    </row>
    <row r="222" spans="1:12" ht="56.25" customHeight="1">
      <c r="A222" s="17"/>
      <c r="B222" s="48" t="s">
        <v>424</v>
      </c>
      <c r="C222" s="24" t="s">
        <v>245</v>
      </c>
      <c r="D222" s="12">
        <v>5</v>
      </c>
      <c r="E222" s="13"/>
      <c r="F222" s="4">
        <v>5</v>
      </c>
      <c r="G222" s="5"/>
      <c r="H222" s="69">
        <f>F222-D222</f>
        <v>0</v>
      </c>
      <c r="I222" s="70">
        <f>F222/D222*100</f>
        <v>100</v>
      </c>
      <c r="J222" s="58"/>
      <c r="L222" s="29"/>
    </row>
    <row r="223" spans="1:12" ht="31.5" customHeight="1">
      <c r="A223" s="17" t="s">
        <v>359</v>
      </c>
      <c r="B223" s="48" t="s">
        <v>424</v>
      </c>
      <c r="C223" s="24" t="s">
        <v>246</v>
      </c>
      <c r="D223" s="12">
        <v>10</v>
      </c>
      <c r="E223" s="13"/>
      <c r="F223" s="4">
        <v>1.529</v>
      </c>
      <c r="G223" s="5"/>
      <c r="H223" s="69">
        <f t="shared" si="16"/>
        <v>-8.471</v>
      </c>
      <c r="I223" s="70">
        <f t="shared" si="17"/>
        <v>15.289999999999997</v>
      </c>
      <c r="J223" s="58"/>
      <c r="L223" s="29"/>
    </row>
    <row r="224" spans="1:12" ht="15.75">
      <c r="A224" s="17"/>
      <c r="B224" s="64" t="s">
        <v>324</v>
      </c>
      <c r="C224" s="55" t="s">
        <v>247</v>
      </c>
      <c r="D224" s="71">
        <f>D225</f>
        <v>70</v>
      </c>
      <c r="E224" s="71">
        <f>E225</f>
        <v>0</v>
      </c>
      <c r="F224" s="71">
        <f>F225</f>
        <v>0</v>
      </c>
      <c r="G224" s="5"/>
      <c r="H224" s="68">
        <f t="shared" si="16"/>
        <v>-70</v>
      </c>
      <c r="I224" s="73">
        <f t="shared" si="17"/>
        <v>0</v>
      </c>
      <c r="J224" s="58"/>
      <c r="L224" s="29"/>
    </row>
    <row r="225" spans="1:12" ht="55.5" customHeight="1">
      <c r="A225" s="17"/>
      <c r="B225" s="64" t="s">
        <v>325</v>
      </c>
      <c r="C225" s="87" t="s">
        <v>248</v>
      </c>
      <c r="D225" s="71">
        <v>70</v>
      </c>
      <c r="E225" s="13"/>
      <c r="F225" s="5">
        <v>0</v>
      </c>
      <c r="G225" s="5"/>
      <c r="H225" s="68">
        <f t="shared" si="16"/>
        <v>-70</v>
      </c>
      <c r="I225" s="73">
        <f t="shared" si="17"/>
        <v>0</v>
      </c>
      <c r="J225" s="58"/>
      <c r="L225" s="29"/>
    </row>
    <row r="226" spans="1:12" ht="15.75">
      <c r="A226" s="17"/>
      <c r="B226" s="64" t="s">
        <v>180</v>
      </c>
      <c r="C226" s="55" t="s">
        <v>249</v>
      </c>
      <c r="D226" s="6">
        <f>D227+D228+D229</f>
        <v>2322.21986</v>
      </c>
      <c r="E226" s="6">
        <f>E227+E228+E229</f>
        <v>0</v>
      </c>
      <c r="F226" s="6">
        <f>F227+F228+F229</f>
        <v>441.30469999999997</v>
      </c>
      <c r="G226" s="5">
        <f>F226-L219</f>
        <v>441.30469999999997</v>
      </c>
      <c r="H226" s="68">
        <f t="shared" si="16"/>
        <v>-1880.9151600000002</v>
      </c>
      <c r="I226" s="73">
        <f t="shared" si="17"/>
        <v>19.003571005546387</v>
      </c>
      <c r="J226" s="58"/>
      <c r="L226" s="29"/>
    </row>
    <row r="227" spans="1:12" ht="57.75" customHeight="1">
      <c r="A227" s="17"/>
      <c r="B227" s="64" t="s">
        <v>421</v>
      </c>
      <c r="C227" s="55" t="s">
        <v>53</v>
      </c>
      <c r="D227" s="6">
        <f>521.714+1359.37986</f>
        <v>1881.09386</v>
      </c>
      <c r="E227" s="6"/>
      <c r="F227" s="5">
        <f>68.214+348.30586</f>
        <v>416.51986</v>
      </c>
      <c r="G227" s="5"/>
      <c r="H227" s="68">
        <f t="shared" si="16"/>
        <v>-1464.574</v>
      </c>
      <c r="I227" s="73">
        <f t="shared" si="17"/>
        <v>22.142428342198723</v>
      </c>
      <c r="J227" s="58"/>
      <c r="L227" s="29"/>
    </row>
    <row r="228" spans="1:12" ht="53.25" customHeight="1">
      <c r="A228" s="17"/>
      <c r="B228" s="64" t="s">
        <v>421</v>
      </c>
      <c r="C228" s="55" t="s">
        <v>54</v>
      </c>
      <c r="D228" s="6">
        <f>330+108.5</f>
        <v>438.5</v>
      </c>
      <c r="E228" s="6"/>
      <c r="F228" s="5">
        <v>24.78484</v>
      </c>
      <c r="G228" s="5"/>
      <c r="H228" s="68">
        <f t="shared" si="16"/>
        <v>-413.71516</v>
      </c>
      <c r="I228" s="73">
        <f t="shared" si="17"/>
        <v>5.65218700114025</v>
      </c>
      <c r="J228" s="58"/>
      <c r="L228" s="29"/>
    </row>
    <row r="229" spans="1:12" ht="60" customHeight="1">
      <c r="A229" s="17"/>
      <c r="B229" s="64" t="s">
        <v>206</v>
      </c>
      <c r="C229" s="55" t="s">
        <v>53</v>
      </c>
      <c r="D229" s="6">
        <v>2.626</v>
      </c>
      <c r="E229" s="6"/>
      <c r="F229" s="5">
        <v>0</v>
      </c>
      <c r="G229" s="5"/>
      <c r="H229" s="68">
        <f>F229-D229</f>
        <v>-2.626</v>
      </c>
      <c r="I229" s="73">
        <f>F229/D229*100</f>
        <v>0</v>
      </c>
      <c r="J229" s="58"/>
      <c r="L229" s="29"/>
    </row>
    <row r="230" spans="1:12" ht="47.25">
      <c r="A230" s="17"/>
      <c r="B230" s="64" t="s">
        <v>334</v>
      </c>
      <c r="C230" s="55" t="s">
        <v>55</v>
      </c>
      <c r="D230" s="6">
        <f>D231+D232+D233</f>
        <v>2374.0887000000002</v>
      </c>
      <c r="E230" s="6">
        <f>E231+E232+E233</f>
        <v>106</v>
      </c>
      <c r="F230" s="6">
        <f>F231+F232+F233</f>
        <v>506.21792999999997</v>
      </c>
      <c r="G230" s="5"/>
      <c r="H230" s="68">
        <f t="shared" si="16"/>
        <v>-1867.8707700000002</v>
      </c>
      <c r="I230" s="73">
        <f t="shared" si="17"/>
        <v>21.322620759704552</v>
      </c>
      <c r="J230" s="58"/>
      <c r="L230" s="29"/>
    </row>
    <row r="231" spans="1:12" ht="54.75" customHeight="1">
      <c r="A231" s="17"/>
      <c r="B231" s="64" t="s">
        <v>334</v>
      </c>
      <c r="C231" s="55" t="s">
        <v>405</v>
      </c>
      <c r="D231" s="6">
        <v>1586.631</v>
      </c>
      <c r="E231" s="6"/>
      <c r="F231" s="5">
        <v>343.431</v>
      </c>
      <c r="G231" s="5"/>
      <c r="H231" s="68">
        <f t="shared" si="16"/>
        <v>-1243.2</v>
      </c>
      <c r="I231" s="73">
        <f t="shared" si="17"/>
        <v>21.645297488830103</v>
      </c>
      <c r="J231" s="58"/>
      <c r="L231" s="29"/>
    </row>
    <row r="232" spans="1:12" ht="47.25">
      <c r="A232" s="17"/>
      <c r="B232" s="64" t="s">
        <v>334</v>
      </c>
      <c r="C232" s="55" t="s">
        <v>406</v>
      </c>
      <c r="D232" s="6">
        <v>693.454</v>
      </c>
      <c r="E232" s="6"/>
      <c r="F232" s="5">
        <v>113.87802</v>
      </c>
      <c r="G232" s="5"/>
      <c r="H232" s="68">
        <f t="shared" si="16"/>
        <v>-579.57598</v>
      </c>
      <c r="I232" s="73">
        <f t="shared" si="17"/>
        <v>16.42185638845547</v>
      </c>
      <c r="J232" s="58"/>
      <c r="L232" s="29"/>
    </row>
    <row r="233" spans="1:12" ht="71.25" customHeight="1">
      <c r="A233" s="17"/>
      <c r="B233" s="64" t="s">
        <v>334</v>
      </c>
      <c r="C233" s="55" t="s">
        <v>36</v>
      </c>
      <c r="D233" s="6">
        <v>94.0037</v>
      </c>
      <c r="E233" s="6">
        <v>106</v>
      </c>
      <c r="F233" s="5">
        <v>48.90891</v>
      </c>
      <c r="G233" s="5" t="e">
        <f>F233-#REF!</f>
        <v>#REF!</v>
      </c>
      <c r="H233" s="68">
        <f t="shared" si="16"/>
        <v>-45.094789999999996</v>
      </c>
      <c r="I233" s="73">
        <f t="shared" si="17"/>
        <v>52.02870738066693</v>
      </c>
      <c r="J233" s="58"/>
      <c r="L233" s="29"/>
    </row>
    <row r="234" spans="1:12" ht="31.5">
      <c r="A234" s="17"/>
      <c r="B234" s="64" t="s">
        <v>43</v>
      </c>
      <c r="C234" s="63" t="s">
        <v>197</v>
      </c>
      <c r="D234" s="6">
        <f>D235+D236+D237</f>
        <v>568.13947</v>
      </c>
      <c r="E234" s="6">
        <f>E235+E236+E237</f>
        <v>0</v>
      </c>
      <c r="F234" s="6">
        <f>F235+F236+F237</f>
        <v>407.13946999999996</v>
      </c>
      <c r="G234" s="5"/>
      <c r="H234" s="68">
        <f t="shared" si="16"/>
        <v>-161</v>
      </c>
      <c r="I234" s="73">
        <f t="shared" si="17"/>
        <v>71.66188788115707</v>
      </c>
      <c r="J234" s="58"/>
      <c r="L234" s="29"/>
    </row>
    <row r="235" spans="1:12" ht="88.5" customHeight="1">
      <c r="A235" s="17"/>
      <c r="B235" s="48" t="s">
        <v>435</v>
      </c>
      <c r="C235" s="7" t="s">
        <v>67</v>
      </c>
      <c r="D235" s="1">
        <v>247.47</v>
      </c>
      <c r="E235" s="6"/>
      <c r="F235" s="4">
        <v>129.47</v>
      </c>
      <c r="G235" s="5"/>
      <c r="H235" s="69">
        <f t="shared" si="16"/>
        <v>-118</v>
      </c>
      <c r="I235" s="70">
        <f t="shared" si="17"/>
        <v>52.31745262051965</v>
      </c>
      <c r="J235" s="58"/>
      <c r="L235" s="29"/>
    </row>
    <row r="236" spans="1:12" ht="47.25" hidden="1">
      <c r="A236" s="17"/>
      <c r="B236" s="48" t="s">
        <v>435</v>
      </c>
      <c r="C236" s="63" t="s">
        <v>69</v>
      </c>
      <c r="D236" s="1">
        <v>0</v>
      </c>
      <c r="E236" s="6"/>
      <c r="F236" s="4">
        <v>0</v>
      </c>
      <c r="G236" s="5"/>
      <c r="H236" s="69">
        <f t="shared" si="16"/>
        <v>0</v>
      </c>
      <c r="I236" s="70" t="e">
        <f t="shared" si="17"/>
        <v>#DIV/0!</v>
      </c>
      <c r="J236" s="58"/>
      <c r="L236" s="29"/>
    </row>
    <row r="237" spans="1:12" ht="47.25">
      <c r="A237" s="17"/>
      <c r="B237" s="48" t="s">
        <v>435</v>
      </c>
      <c r="C237" s="65" t="s">
        <v>73</v>
      </c>
      <c r="D237" s="1">
        <v>320.66947</v>
      </c>
      <c r="E237" s="6"/>
      <c r="F237" s="4">
        <v>277.66947</v>
      </c>
      <c r="G237" s="5"/>
      <c r="H237" s="69">
        <f t="shared" si="16"/>
        <v>-43</v>
      </c>
      <c r="I237" s="70">
        <f t="shared" si="17"/>
        <v>86.59055381854718</v>
      </c>
      <c r="J237" s="58"/>
      <c r="L237" s="29"/>
    </row>
    <row r="238" spans="1:12" ht="31.5">
      <c r="A238" s="17"/>
      <c r="B238" s="72" t="s">
        <v>465</v>
      </c>
      <c r="C238" s="55" t="s">
        <v>250</v>
      </c>
      <c r="D238" s="6">
        <f>D239+D240</f>
        <v>39</v>
      </c>
      <c r="E238" s="6">
        <f>E239+E240</f>
        <v>0</v>
      </c>
      <c r="F238" s="6">
        <f>F239+F240</f>
        <v>0</v>
      </c>
      <c r="G238" s="5"/>
      <c r="H238" s="68">
        <f t="shared" si="16"/>
        <v>-39</v>
      </c>
      <c r="I238" s="73">
        <f t="shared" si="17"/>
        <v>0</v>
      </c>
      <c r="J238" s="58"/>
      <c r="L238" s="29"/>
    </row>
    <row r="239" spans="1:12" ht="69" customHeight="1">
      <c r="A239" s="17"/>
      <c r="B239" s="72" t="s">
        <v>347</v>
      </c>
      <c r="C239" s="55" t="s">
        <v>252</v>
      </c>
      <c r="D239" s="6">
        <v>35.5</v>
      </c>
      <c r="E239" s="6"/>
      <c r="F239" s="6">
        <v>0</v>
      </c>
      <c r="G239" s="5"/>
      <c r="H239" s="68">
        <f t="shared" si="16"/>
        <v>-35.5</v>
      </c>
      <c r="I239" s="73">
        <f t="shared" si="17"/>
        <v>0</v>
      </c>
      <c r="J239" s="58"/>
      <c r="L239" s="29"/>
    </row>
    <row r="240" spans="1:12" ht="31.5">
      <c r="A240" s="17"/>
      <c r="B240" s="72" t="s">
        <v>339</v>
      </c>
      <c r="C240" s="55" t="s">
        <v>189</v>
      </c>
      <c r="D240" s="6">
        <v>3.5</v>
      </c>
      <c r="E240" s="6"/>
      <c r="F240" s="6">
        <v>0</v>
      </c>
      <c r="G240" s="5"/>
      <c r="H240" s="68">
        <f t="shared" si="16"/>
        <v>-3.5</v>
      </c>
      <c r="I240" s="73">
        <f t="shared" si="17"/>
        <v>0</v>
      </c>
      <c r="J240" s="58"/>
      <c r="L240" s="29"/>
    </row>
    <row r="241" spans="1:12" ht="31.5">
      <c r="A241" s="17"/>
      <c r="B241" s="72" t="s">
        <v>71</v>
      </c>
      <c r="C241" s="55" t="s">
        <v>253</v>
      </c>
      <c r="D241" s="6">
        <f>D242+D243</f>
        <v>220.03186</v>
      </c>
      <c r="E241" s="6">
        <f>E242+E243</f>
        <v>10</v>
      </c>
      <c r="F241" s="6">
        <f>F242+F243</f>
        <v>56.45761</v>
      </c>
      <c r="G241" s="5"/>
      <c r="H241" s="68">
        <f t="shared" si="16"/>
        <v>-163.57425</v>
      </c>
      <c r="I241" s="73">
        <f t="shared" si="17"/>
        <v>25.6588341342931</v>
      </c>
      <c r="J241" s="58"/>
      <c r="L241" s="29"/>
    </row>
    <row r="242" spans="1:12" ht="69.75" customHeight="1">
      <c r="A242" s="17"/>
      <c r="B242" s="49" t="s">
        <v>438</v>
      </c>
      <c r="C242" s="7" t="s">
        <v>37</v>
      </c>
      <c r="D242" s="1">
        <v>220.03186</v>
      </c>
      <c r="E242" s="6">
        <v>10</v>
      </c>
      <c r="F242" s="1">
        <v>56.45761</v>
      </c>
      <c r="G242" s="5" t="e">
        <f>F242-#REF!</f>
        <v>#REF!</v>
      </c>
      <c r="H242" s="69">
        <f t="shared" si="16"/>
        <v>-163.57425</v>
      </c>
      <c r="I242" s="70">
        <f t="shared" si="17"/>
        <v>25.6588341342931</v>
      </c>
      <c r="J242" s="58"/>
      <c r="L242" s="29"/>
    </row>
    <row r="243" spans="1:12" ht="63" hidden="1">
      <c r="A243" s="17"/>
      <c r="B243" s="49" t="s">
        <v>70</v>
      </c>
      <c r="C243" s="7" t="s">
        <v>37</v>
      </c>
      <c r="D243" s="1">
        <v>0</v>
      </c>
      <c r="E243" s="6"/>
      <c r="F243" s="1">
        <v>0</v>
      </c>
      <c r="G243" s="5"/>
      <c r="H243" s="69">
        <f t="shared" si="16"/>
        <v>0</v>
      </c>
      <c r="I243" s="70" t="e">
        <f t="shared" si="17"/>
        <v>#DIV/0!</v>
      </c>
      <c r="J243" s="58"/>
      <c r="L243" s="29"/>
    </row>
    <row r="244" spans="1:12" ht="15.75">
      <c r="A244" s="17"/>
      <c r="B244" s="72" t="s">
        <v>479</v>
      </c>
      <c r="C244" s="55" t="s">
        <v>254</v>
      </c>
      <c r="D244" s="6">
        <f>D245+D249+D246+D248+D247</f>
        <v>203.90541</v>
      </c>
      <c r="E244" s="6">
        <f>E245+E249+E246+E248+E247</f>
        <v>0</v>
      </c>
      <c r="F244" s="6">
        <f>F245+F249+F246+F248+F247</f>
        <v>149.20441</v>
      </c>
      <c r="G244" s="5"/>
      <c r="H244" s="68">
        <f t="shared" si="16"/>
        <v>-54.70099999999999</v>
      </c>
      <c r="I244" s="73">
        <f t="shared" si="17"/>
        <v>73.17334542521456</v>
      </c>
      <c r="J244" s="58"/>
      <c r="L244" s="29"/>
    </row>
    <row r="245" spans="1:12" ht="47.25">
      <c r="A245" s="17"/>
      <c r="B245" s="49" t="s">
        <v>479</v>
      </c>
      <c r="C245" s="7" t="s">
        <v>255</v>
      </c>
      <c r="D245" s="1">
        <v>130.05701</v>
      </c>
      <c r="E245" s="6"/>
      <c r="F245" s="1">
        <v>130.05701</v>
      </c>
      <c r="G245" s="5"/>
      <c r="H245" s="69">
        <f t="shared" si="16"/>
        <v>0</v>
      </c>
      <c r="I245" s="70">
        <f t="shared" si="17"/>
        <v>100</v>
      </c>
      <c r="J245" s="58"/>
      <c r="L245" s="29"/>
    </row>
    <row r="246" spans="1:12" ht="31.5">
      <c r="A246" s="17"/>
      <c r="B246" s="49" t="s">
        <v>479</v>
      </c>
      <c r="C246" s="7" t="s">
        <v>256</v>
      </c>
      <c r="D246" s="1">
        <v>11.9484</v>
      </c>
      <c r="E246" s="6"/>
      <c r="F246" s="1">
        <v>11.9484</v>
      </c>
      <c r="G246" s="5"/>
      <c r="H246" s="69">
        <f t="shared" si="16"/>
        <v>0</v>
      </c>
      <c r="I246" s="70">
        <f t="shared" si="17"/>
        <v>100</v>
      </c>
      <c r="J246" s="58"/>
      <c r="L246" s="29"/>
    </row>
    <row r="247" spans="1:12" ht="31.5">
      <c r="A247" s="17"/>
      <c r="B247" s="49" t="s">
        <v>479</v>
      </c>
      <c r="C247" s="7" t="s">
        <v>190</v>
      </c>
      <c r="D247" s="1">
        <v>32.9</v>
      </c>
      <c r="E247" s="6"/>
      <c r="F247" s="1">
        <v>0</v>
      </c>
      <c r="G247" s="5"/>
      <c r="H247" s="69">
        <f t="shared" si="16"/>
        <v>-32.9</v>
      </c>
      <c r="I247" s="70">
        <f t="shared" si="17"/>
        <v>0</v>
      </c>
      <c r="J247" s="58"/>
      <c r="L247" s="29"/>
    </row>
    <row r="248" spans="1:12" ht="31.5">
      <c r="A248" s="17"/>
      <c r="B248" s="49" t="s">
        <v>479</v>
      </c>
      <c r="C248" s="7" t="s">
        <v>257</v>
      </c>
      <c r="D248" s="1">
        <v>29</v>
      </c>
      <c r="E248" s="6"/>
      <c r="F248" s="1">
        <v>7.199</v>
      </c>
      <c r="G248" s="5"/>
      <c r="H248" s="69">
        <f t="shared" si="16"/>
        <v>-21.801000000000002</v>
      </c>
      <c r="I248" s="70">
        <f t="shared" si="17"/>
        <v>24.824137931034482</v>
      </c>
      <c r="J248" s="58"/>
      <c r="L248" s="29"/>
    </row>
    <row r="249" spans="1:12" ht="31.5" hidden="1">
      <c r="A249" s="17"/>
      <c r="B249" s="49" t="s">
        <v>479</v>
      </c>
      <c r="C249" s="7" t="s">
        <v>258</v>
      </c>
      <c r="D249" s="1"/>
      <c r="E249" s="6"/>
      <c r="F249" s="1"/>
      <c r="G249" s="5"/>
      <c r="H249" s="69">
        <f t="shared" si="16"/>
        <v>0</v>
      </c>
      <c r="I249" s="70" t="e">
        <f t="shared" si="17"/>
        <v>#DIV/0!</v>
      </c>
      <c r="J249" s="58"/>
      <c r="L249" s="29"/>
    </row>
    <row r="250" spans="1:12" ht="15.75">
      <c r="A250" s="17"/>
      <c r="B250" s="72" t="s">
        <v>466</v>
      </c>
      <c r="C250" s="55" t="s">
        <v>259</v>
      </c>
      <c r="D250" s="6">
        <f>D251+D256+D252+D253+D254+D255</f>
        <v>4717.49</v>
      </c>
      <c r="E250" s="6">
        <f>E251+E256+E252+E253+E254+E255</f>
        <v>0</v>
      </c>
      <c r="F250" s="6">
        <f>F251+F256+F252+F253+F254+F255</f>
        <v>0</v>
      </c>
      <c r="G250" s="5"/>
      <c r="H250" s="68">
        <f t="shared" si="16"/>
        <v>-4717.49</v>
      </c>
      <c r="I250" s="73">
        <f t="shared" si="17"/>
        <v>0</v>
      </c>
      <c r="J250" s="58"/>
      <c r="L250" s="29"/>
    </row>
    <row r="251" spans="1:12" ht="63">
      <c r="A251" s="17" t="s">
        <v>318</v>
      </c>
      <c r="B251" s="48" t="s">
        <v>467</v>
      </c>
      <c r="C251" s="3" t="s">
        <v>191</v>
      </c>
      <c r="D251" s="12">
        <v>269</v>
      </c>
      <c r="E251" s="13"/>
      <c r="F251" s="4">
        <v>0</v>
      </c>
      <c r="G251" s="5"/>
      <c r="H251" s="69">
        <f t="shared" si="16"/>
        <v>-269</v>
      </c>
      <c r="I251" s="70">
        <f t="shared" si="17"/>
        <v>0</v>
      </c>
      <c r="J251" s="58"/>
      <c r="L251" s="29"/>
    </row>
    <row r="252" spans="1:12" ht="78.75" hidden="1">
      <c r="A252" s="22"/>
      <c r="B252" s="49" t="s">
        <v>467</v>
      </c>
      <c r="C252" s="3" t="s">
        <v>260</v>
      </c>
      <c r="D252" s="1"/>
      <c r="E252" s="6"/>
      <c r="F252" s="1"/>
      <c r="G252" s="5"/>
      <c r="H252" s="69">
        <f t="shared" si="16"/>
        <v>0</v>
      </c>
      <c r="I252" s="70" t="e">
        <f t="shared" si="17"/>
        <v>#DIV/0!</v>
      </c>
      <c r="J252" s="2"/>
      <c r="L252" s="40"/>
    </row>
    <row r="253" spans="1:12" ht="94.5">
      <c r="A253" s="22"/>
      <c r="B253" s="49" t="s">
        <v>467</v>
      </c>
      <c r="C253" s="55" t="s">
        <v>261</v>
      </c>
      <c r="D253" s="1">
        <v>3.69</v>
      </c>
      <c r="E253" s="6"/>
      <c r="F253" s="1">
        <v>0</v>
      </c>
      <c r="G253" s="5"/>
      <c r="H253" s="69">
        <f t="shared" si="16"/>
        <v>-3.69</v>
      </c>
      <c r="I253" s="70">
        <f t="shared" si="17"/>
        <v>0</v>
      </c>
      <c r="J253" s="2"/>
      <c r="L253" s="40"/>
    </row>
    <row r="254" spans="1:12" ht="0.75" customHeight="1" hidden="1">
      <c r="A254" s="22"/>
      <c r="B254" s="49" t="s">
        <v>467</v>
      </c>
      <c r="C254" s="55" t="s">
        <v>262</v>
      </c>
      <c r="D254" s="1"/>
      <c r="E254" s="6"/>
      <c r="F254" s="1"/>
      <c r="G254" s="5"/>
      <c r="H254" s="69">
        <f t="shared" si="16"/>
        <v>0</v>
      </c>
      <c r="I254" s="70" t="e">
        <f t="shared" si="17"/>
        <v>#DIV/0!</v>
      </c>
      <c r="J254" s="2"/>
      <c r="L254" s="40"/>
    </row>
    <row r="255" spans="1:12" ht="63" hidden="1">
      <c r="A255" s="22"/>
      <c r="B255" s="49" t="s">
        <v>467</v>
      </c>
      <c r="C255" s="47" t="s">
        <v>263</v>
      </c>
      <c r="D255" s="1"/>
      <c r="E255" s="6"/>
      <c r="F255" s="1"/>
      <c r="G255" s="5"/>
      <c r="H255" s="69">
        <f t="shared" si="16"/>
        <v>0</v>
      </c>
      <c r="I255" s="70" t="e">
        <f t="shared" si="17"/>
        <v>#DIV/0!</v>
      </c>
      <c r="J255" s="2"/>
      <c r="L255" s="40"/>
    </row>
    <row r="256" spans="1:12" ht="50.25" customHeight="1">
      <c r="A256" s="22" t="s">
        <v>308</v>
      </c>
      <c r="B256" s="72" t="s">
        <v>72</v>
      </c>
      <c r="C256" s="74" t="s">
        <v>74</v>
      </c>
      <c r="D256" s="6">
        <v>4444.8</v>
      </c>
      <c r="E256" s="6"/>
      <c r="F256" s="6">
        <v>0</v>
      </c>
      <c r="G256" s="5"/>
      <c r="H256" s="68">
        <f t="shared" si="16"/>
        <v>-4444.8</v>
      </c>
      <c r="I256" s="73">
        <f t="shared" si="17"/>
        <v>0</v>
      </c>
      <c r="J256" s="2"/>
      <c r="L256" s="40"/>
    </row>
    <row r="257" spans="1:12" ht="15.75">
      <c r="A257" s="14"/>
      <c r="B257" s="91"/>
      <c r="C257" s="80" t="s">
        <v>474</v>
      </c>
      <c r="D257" s="71">
        <f>D259+D261+D267+D270+D274</f>
        <v>3990.623950000001</v>
      </c>
      <c r="E257" s="71">
        <f>E259+E261+E267+E270</f>
        <v>19</v>
      </c>
      <c r="F257" s="71">
        <f>F259+F261+F267+F270+F274</f>
        <v>1340.84274</v>
      </c>
      <c r="G257" s="71" t="e">
        <f>#REF!+#REF!+#REF!+#REF!+#REF!+#REF!+#REF!+#REF!</f>
        <v>#REF!</v>
      </c>
      <c r="H257" s="68">
        <f t="shared" si="16"/>
        <v>-2649.781210000001</v>
      </c>
      <c r="I257" s="73">
        <f t="shared" si="17"/>
        <v>33.59982691428491</v>
      </c>
      <c r="J257" s="2"/>
      <c r="L257" s="40"/>
    </row>
    <row r="258" spans="1:12" ht="15.75" hidden="1">
      <c r="A258" s="27" t="s">
        <v>295</v>
      </c>
      <c r="B258" s="64" t="s">
        <v>296</v>
      </c>
      <c r="C258" s="80" t="s">
        <v>392</v>
      </c>
      <c r="D258" s="71"/>
      <c r="E258" s="71"/>
      <c r="F258" s="71"/>
      <c r="G258" s="71"/>
      <c r="H258" s="68">
        <f t="shared" si="16"/>
        <v>0</v>
      </c>
      <c r="I258" s="73" t="e">
        <f t="shared" si="17"/>
        <v>#DIV/0!</v>
      </c>
      <c r="J258" s="2"/>
      <c r="L258" s="40"/>
    </row>
    <row r="259" spans="1:12" ht="20.25" customHeight="1">
      <c r="A259" s="27" t="s">
        <v>295</v>
      </c>
      <c r="B259" s="64" t="s">
        <v>296</v>
      </c>
      <c r="C259" s="74" t="s">
        <v>38</v>
      </c>
      <c r="D259" s="71">
        <v>75.8022</v>
      </c>
      <c r="E259" s="71"/>
      <c r="F259" s="71">
        <v>40.3022</v>
      </c>
      <c r="G259" s="71"/>
      <c r="H259" s="68">
        <f aca="true" t="shared" si="18" ref="H259:H298">F259-D259</f>
        <v>-35.5</v>
      </c>
      <c r="I259" s="73">
        <f aca="true" t="shared" si="19" ref="I259:I298">F259/D259*100</f>
        <v>53.16758616504534</v>
      </c>
      <c r="J259" s="2"/>
      <c r="L259" s="40"/>
    </row>
    <row r="260" spans="1:12" ht="13.5" customHeight="1" hidden="1">
      <c r="A260" s="27" t="s">
        <v>295</v>
      </c>
      <c r="B260" s="64" t="s">
        <v>296</v>
      </c>
      <c r="C260" s="55" t="s">
        <v>473</v>
      </c>
      <c r="D260" s="71">
        <v>0</v>
      </c>
      <c r="E260" s="71"/>
      <c r="F260" s="71"/>
      <c r="G260" s="71"/>
      <c r="H260" s="68">
        <f t="shared" si="18"/>
        <v>0</v>
      </c>
      <c r="I260" s="73" t="e">
        <f t="shared" si="19"/>
        <v>#DIV/0!</v>
      </c>
      <c r="J260" s="2"/>
      <c r="L260" s="40"/>
    </row>
    <row r="261" spans="1:12" ht="15.75">
      <c r="A261" s="17" t="s">
        <v>297</v>
      </c>
      <c r="B261" s="64" t="s">
        <v>298</v>
      </c>
      <c r="C261" s="74" t="s">
        <v>264</v>
      </c>
      <c r="D261" s="71">
        <f>D262+D263+D264+D265+D266</f>
        <v>3734.421750000001</v>
      </c>
      <c r="E261" s="71">
        <f>E262+E263+E264+E265+E266</f>
        <v>0</v>
      </c>
      <c r="F261" s="71">
        <f>F262+F263+F264+F265+F266</f>
        <v>1239.40196</v>
      </c>
      <c r="G261" s="71"/>
      <c r="H261" s="68">
        <f t="shared" si="18"/>
        <v>-2495.019790000001</v>
      </c>
      <c r="I261" s="73">
        <f t="shared" si="19"/>
        <v>33.18859097797402</v>
      </c>
      <c r="J261" s="2"/>
      <c r="L261" s="40"/>
    </row>
    <row r="262" spans="1:12" ht="15.75">
      <c r="A262" s="17"/>
      <c r="B262" s="64" t="s">
        <v>356</v>
      </c>
      <c r="C262" s="63" t="s">
        <v>45</v>
      </c>
      <c r="D262" s="71">
        <v>2108.64465</v>
      </c>
      <c r="E262" s="71"/>
      <c r="F262" s="71">
        <v>541.69024</v>
      </c>
      <c r="G262" s="71"/>
      <c r="H262" s="68">
        <f t="shared" si="18"/>
        <v>-1566.9544100000003</v>
      </c>
      <c r="I262" s="73">
        <f t="shared" si="19"/>
        <v>25.689024464126753</v>
      </c>
      <c r="J262" s="2"/>
      <c r="L262" s="40"/>
    </row>
    <row r="263" spans="1:12" ht="15.75">
      <c r="A263" s="17"/>
      <c r="B263" s="64" t="s">
        <v>358</v>
      </c>
      <c r="C263" s="63" t="s">
        <v>44</v>
      </c>
      <c r="D263" s="71">
        <v>1604.1391</v>
      </c>
      <c r="E263" s="71"/>
      <c r="F263" s="71">
        <v>681.73972</v>
      </c>
      <c r="G263" s="71"/>
      <c r="H263" s="68">
        <f t="shared" si="18"/>
        <v>-922.3993800000001</v>
      </c>
      <c r="I263" s="73">
        <f t="shared" si="19"/>
        <v>42.49879078441514</v>
      </c>
      <c r="J263" s="2"/>
      <c r="L263" s="40"/>
    </row>
    <row r="264" spans="1:12" ht="15.75">
      <c r="A264" s="17"/>
      <c r="B264" s="64" t="s">
        <v>360</v>
      </c>
      <c r="C264" s="74" t="s">
        <v>395</v>
      </c>
      <c r="D264" s="71">
        <v>14.684</v>
      </c>
      <c r="E264" s="71"/>
      <c r="F264" s="71">
        <v>9.018</v>
      </c>
      <c r="G264" s="71"/>
      <c r="H264" s="68">
        <f t="shared" si="18"/>
        <v>-5.665999999999999</v>
      </c>
      <c r="I264" s="73">
        <f t="shared" si="19"/>
        <v>61.41378371016073</v>
      </c>
      <c r="J264" s="2"/>
      <c r="L264" s="40"/>
    </row>
    <row r="265" spans="1:12" ht="31.5">
      <c r="A265" s="17"/>
      <c r="B265" s="64" t="s">
        <v>377</v>
      </c>
      <c r="C265" s="74" t="s">
        <v>398</v>
      </c>
      <c r="D265" s="71">
        <v>6.954</v>
      </c>
      <c r="E265" s="71"/>
      <c r="F265" s="71">
        <v>6.954</v>
      </c>
      <c r="G265" s="71"/>
      <c r="H265" s="68">
        <f t="shared" si="18"/>
        <v>0</v>
      </c>
      <c r="I265" s="73">
        <f t="shared" si="19"/>
        <v>100</v>
      </c>
      <c r="J265" s="2"/>
      <c r="L265" s="40"/>
    </row>
    <row r="266" spans="1:12" ht="20.25" customHeight="1" hidden="1">
      <c r="A266" s="17"/>
      <c r="B266" s="64" t="s">
        <v>372</v>
      </c>
      <c r="C266" s="74" t="s">
        <v>399</v>
      </c>
      <c r="D266" s="71"/>
      <c r="E266" s="71"/>
      <c r="F266" s="71"/>
      <c r="G266" s="71"/>
      <c r="H266" s="68">
        <f t="shared" si="18"/>
        <v>0</v>
      </c>
      <c r="I266" s="73" t="e">
        <f t="shared" si="19"/>
        <v>#DIV/0!</v>
      </c>
      <c r="J266" s="2"/>
      <c r="L266" s="40"/>
    </row>
    <row r="267" spans="1:12" ht="15.75">
      <c r="A267" s="17"/>
      <c r="B267" s="64" t="s">
        <v>300</v>
      </c>
      <c r="C267" s="74" t="s">
        <v>265</v>
      </c>
      <c r="D267" s="71">
        <f>D268+D269</f>
        <v>45.3</v>
      </c>
      <c r="E267" s="71">
        <f>E268+E269</f>
        <v>19</v>
      </c>
      <c r="F267" s="71">
        <f>F268+F269</f>
        <v>6.8892</v>
      </c>
      <c r="G267" s="71"/>
      <c r="H267" s="68">
        <f t="shared" si="18"/>
        <v>-38.410799999999995</v>
      </c>
      <c r="I267" s="73">
        <f t="shared" si="19"/>
        <v>15.207947019867552</v>
      </c>
      <c r="J267" s="2"/>
      <c r="L267" s="40"/>
    </row>
    <row r="268" spans="1:12" ht="63" hidden="1">
      <c r="A268" s="17"/>
      <c r="B268" s="48" t="s">
        <v>19</v>
      </c>
      <c r="C268" s="7" t="s">
        <v>238</v>
      </c>
      <c r="D268" s="1"/>
      <c r="E268" s="15"/>
      <c r="F268" s="4"/>
      <c r="G268" s="5"/>
      <c r="H268" s="69">
        <f t="shared" si="18"/>
        <v>0</v>
      </c>
      <c r="I268" s="70" t="e">
        <f t="shared" si="19"/>
        <v>#DIV/0!</v>
      </c>
      <c r="J268" s="2"/>
      <c r="L268" s="40"/>
    </row>
    <row r="269" spans="1:12" ht="63">
      <c r="A269" s="27" t="s">
        <v>311</v>
      </c>
      <c r="B269" s="48" t="s">
        <v>312</v>
      </c>
      <c r="C269" s="18" t="s">
        <v>34</v>
      </c>
      <c r="D269" s="15">
        <v>45.3</v>
      </c>
      <c r="E269" s="15">
        <v>19</v>
      </c>
      <c r="F269" s="4">
        <v>6.8892</v>
      </c>
      <c r="G269" s="5">
        <f>F269-L261</f>
        <v>6.8892</v>
      </c>
      <c r="H269" s="69">
        <f t="shared" si="18"/>
        <v>-38.410799999999995</v>
      </c>
      <c r="I269" s="70">
        <f t="shared" si="19"/>
        <v>15.207947019867552</v>
      </c>
      <c r="J269" s="2"/>
      <c r="L269" s="40"/>
    </row>
    <row r="270" spans="1:12" ht="15.75">
      <c r="A270" s="19" t="s">
        <v>322</v>
      </c>
      <c r="B270" s="72" t="s">
        <v>335</v>
      </c>
      <c r="C270" s="55" t="s">
        <v>266</v>
      </c>
      <c r="D270" s="71">
        <f>D271+D272+D273</f>
        <v>135.1</v>
      </c>
      <c r="E270" s="71">
        <f>E271+E272+E273</f>
        <v>0</v>
      </c>
      <c r="F270" s="71">
        <f>F271+F272+F273</f>
        <v>54.24938</v>
      </c>
      <c r="G270" s="71"/>
      <c r="H270" s="68">
        <f t="shared" si="18"/>
        <v>-80.85061999999999</v>
      </c>
      <c r="I270" s="73">
        <f t="shared" si="19"/>
        <v>40.15498149518875</v>
      </c>
      <c r="J270" s="2"/>
      <c r="L270" s="40"/>
    </row>
    <row r="271" spans="1:12" ht="22.5" customHeight="1" hidden="1">
      <c r="A271" s="19"/>
      <c r="B271" s="49" t="s">
        <v>445</v>
      </c>
      <c r="C271" s="24" t="s">
        <v>244</v>
      </c>
      <c r="D271" s="12"/>
      <c r="E271" s="12"/>
      <c r="F271" s="12"/>
      <c r="G271" s="12"/>
      <c r="H271" s="69">
        <f t="shared" si="18"/>
        <v>0</v>
      </c>
      <c r="I271" s="70" t="e">
        <f t="shared" si="19"/>
        <v>#DIV/0!</v>
      </c>
      <c r="J271" s="2"/>
      <c r="L271" s="40"/>
    </row>
    <row r="272" spans="1:12" ht="15.75" hidden="1">
      <c r="A272" s="19"/>
      <c r="B272" s="49" t="s">
        <v>288</v>
      </c>
      <c r="C272" s="24" t="s">
        <v>268</v>
      </c>
      <c r="D272" s="12"/>
      <c r="E272" s="12"/>
      <c r="F272" s="12"/>
      <c r="G272" s="12"/>
      <c r="H272" s="69">
        <f t="shared" si="18"/>
        <v>0</v>
      </c>
      <c r="I272" s="70" t="e">
        <f t="shared" si="19"/>
        <v>#DIV/0!</v>
      </c>
      <c r="J272" s="2"/>
      <c r="L272" s="40"/>
    </row>
    <row r="273" spans="1:12" ht="15.75">
      <c r="A273" s="19"/>
      <c r="B273" s="49" t="s">
        <v>446</v>
      </c>
      <c r="C273" s="99" t="s">
        <v>267</v>
      </c>
      <c r="D273" s="12">
        <v>135.1</v>
      </c>
      <c r="E273" s="12"/>
      <c r="F273" s="12">
        <v>54.24938</v>
      </c>
      <c r="G273" s="12"/>
      <c r="H273" s="69">
        <f t="shared" si="18"/>
        <v>-80.85061999999999</v>
      </c>
      <c r="I273" s="70">
        <f t="shared" si="19"/>
        <v>40.15498149518875</v>
      </c>
      <c r="J273" s="2"/>
      <c r="L273" s="40"/>
    </row>
    <row r="274" spans="1:12" ht="31.5" hidden="1">
      <c r="A274" s="19"/>
      <c r="B274" s="72" t="s">
        <v>325</v>
      </c>
      <c r="C274" s="3" t="s">
        <v>39</v>
      </c>
      <c r="D274" s="71"/>
      <c r="E274" s="71"/>
      <c r="F274" s="71"/>
      <c r="G274" s="71"/>
      <c r="H274" s="68">
        <f>F274-D274</f>
        <v>0</v>
      </c>
      <c r="I274" s="73" t="e">
        <f>F274/D274*100</f>
        <v>#DIV/0!</v>
      </c>
      <c r="J274" s="2"/>
      <c r="L274" s="40"/>
    </row>
    <row r="275" spans="1:12" ht="15.75">
      <c r="A275" s="27"/>
      <c r="B275" s="64"/>
      <c r="C275" s="80" t="s">
        <v>476</v>
      </c>
      <c r="D275" s="71">
        <f>D276+D277+D284+D289+D290+D296</f>
        <v>180.6253</v>
      </c>
      <c r="E275" s="71">
        <f>E276+E277+E284+E289+E290+E296</f>
        <v>20.700000000000003</v>
      </c>
      <c r="F275" s="71">
        <f>F276+F277+F284+F289+F290+F296</f>
        <v>179.59164</v>
      </c>
      <c r="G275" s="71"/>
      <c r="H275" s="68">
        <f t="shared" si="18"/>
        <v>-1.0336599999999976</v>
      </c>
      <c r="I275" s="73">
        <f t="shared" si="19"/>
        <v>99.42773243836827</v>
      </c>
      <c r="J275" s="2"/>
      <c r="L275" s="40"/>
    </row>
    <row r="276" spans="1:12" ht="24" customHeight="1" hidden="1">
      <c r="A276" s="27"/>
      <c r="B276" s="64" t="s">
        <v>296</v>
      </c>
      <c r="C276" s="80" t="s">
        <v>89</v>
      </c>
      <c r="D276" s="71"/>
      <c r="E276" s="71"/>
      <c r="F276" s="71"/>
      <c r="G276" s="71"/>
      <c r="H276" s="68">
        <f t="shared" si="18"/>
        <v>0</v>
      </c>
      <c r="I276" s="73" t="e">
        <f t="shared" si="19"/>
        <v>#DIV/0!</v>
      </c>
      <c r="J276" s="2"/>
      <c r="L276" s="40"/>
    </row>
    <row r="277" spans="1:12" ht="15.75">
      <c r="A277" s="17" t="s">
        <v>297</v>
      </c>
      <c r="B277" s="64" t="s">
        <v>298</v>
      </c>
      <c r="C277" s="74" t="s">
        <v>264</v>
      </c>
      <c r="D277" s="71">
        <f>D278+D279+D280+D281+D283+D282</f>
        <v>165.35827</v>
      </c>
      <c r="E277" s="71">
        <f>E278+E279+E280+E281+E283+E282</f>
        <v>0</v>
      </c>
      <c r="F277" s="71">
        <f>F278+F279+F280+F281+F283+F282</f>
        <v>164.32461</v>
      </c>
      <c r="G277" s="71"/>
      <c r="H277" s="68">
        <f t="shared" si="18"/>
        <v>-1.0336599999999976</v>
      </c>
      <c r="I277" s="73">
        <f t="shared" si="19"/>
        <v>99.37489670156806</v>
      </c>
      <c r="J277" s="2"/>
      <c r="L277" s="40"/>
    </row>
    <row r="278" spans="1:12" ht="15.75">
      <c r="A278" s="17"/>
      <c r="B278" s="48" t="s">
        <v>356</v>
      </c>
      <c r="C278" s="20" t="s">
        <v>45</v>
      </c>
      <c r="D278" s="12">
        <v>88.36342</v>
      </c>
      <c r="E278" s="12"/>
      <c r="F278" s="12">
        <v>88.36342</v>
      </c>
      <c r="G278" s="12"/>
      <c r="H278" s="69">
        <f t="shared" si="18"/>
        <v>0</v>
      </c>
      <c r="I278" s="70">
        <f t="shared" si="19"/>
        <v>100</v>
      </c>
      <c r="J278" s="2"/>
      <c r="L278" s="40"/>
    </row>
    <row r="279" spans="1:12" ht="15.75">
      <c r="A279" s="17"/>
      <c r="B279" s="48" t="s">
        <v>358</v>
      </c>
      <c r="C279" s="20" t="s">
        <v>44</v>
      </c>
      <c r="D279" s="12">
        <v>70.992</v>
      </c>
      <c r="E279" s="12"/>
      <c r="F279" s="12">
        <v>69.95834</v>
      </c>
      <c r="G279" s="12"/>
      <c r="H279" s="69">
        <f t="shared" si="18"/>
        <v>-1.0336599999999976</v>
      </c>
      <c r="I279" s="70">
        <f t="shared" si="19"/>
        <v>98.54397678611674</v>
      </c>
      <c r="J279" s="2"/>
      <c r="L279" s="40"/>
    </row>
    <row r="280" spans="1:12" ht="15.75">
      <c r="A280" s="17"/>
      <c r="B280" s="48" t="s">
        <v>360</v>
      </c>
      <c r="C280" s="18" t="s">
        <v>395</v>
      </c>
      <c r="D280" s="12">
        <v>6.00285</v>
      </c>
      <c r="E280" s="12"/>
      <c r="F280" s="12">
        <v>6.00285</v>
      </c>
      <c r="G280" s="12"/>
      <c r="H280" s="69">
        <f t="shared" si="18"/>
        <v>0</v>
      </c>
      <c r="I280" s="70">
        <f t="shared" si="19"/>
        <v>100</v>
      </c>
      <c r="J280" s="2"/>
      <c r="L280" s="40"/>
    </row>
    <row r="281" spans="1:12" ht="18.75" customHeight="1" hidden="1">
      <c r="A281" s="17"/>
      <c r="B281" s="48" t="s">
        <v>375</v>
      </c>
      <c r="C281" s="18" t="s">
        <v>46</v>
      </c>
      <c r="D281" s="12">
        <v>0</v>
      </c>
      <c r="E281" s="12"/>
      <c r="F281" s="12">
        <v>0</v>
      </c>
      <c r="G281" s="12"/>
      <c r="H281" s="69">
        <f>F281-D281</f>
        <v>0</v>
      </c>
      <c r="I281" s="70" t="e">
        <f>F281/D281*100</f>
        <v>#DIV/0!</v>
      </c>
      <c r="J281" s="2"/>
      <c r="L281" s="40"/>
    </row>
    <row r="282" spans="1:12" ht="31.5" customHeight="1" hidden="1">
      <c r="A282" s="17"/>
      <c r="B282" s="48" t="s">
        <v>377</v>
      </c>
      <c r="C282" s="18" t="s">
        <v>398</v>
      </c>
      <c r="D282" s="12"/>
      <c r="E282" s="12"/>
      <c r="F282" s="12"/>
      <c r="G282" s="12"/>
      <c r="H282" s="69">
        <f>F282-D282</f>
        <v>0</v>
      </c>
      <c r="I282" s="70" t="e">
        <f>F282/D282*100</f>
        <v>#DIV/0!</v>
      </c>
      <c r="J282" s="2"/>
      <c r="L282" s="40"/>
    </row>
    <row r="283" spans="1:12" ht="17.25" customHeight="1" hidden="1">
      <c r="A283" s="17"/>
      <c r="B283" s="48" t="s">
        <v>372</v>
      </c>
      <c r="C283" s="18" t="s">
        <v>399</v>
      </c>
      <c r="D283" s="12"/>
      <c r="E283" s="12"/>
      <c r="F283" s="12"/>
      <c r="G283" s="12"/>
      <c r="H283" s="69">
        <f t="shared" si="18"/>
        <v>0</v>
      </c>
      <c r="I283" s="70" t="e">
        <f t="shared" si="19"/>
        <v>#DIV/0!</v>
      </c>
      <c r="J283" s="2"/>
      <c r="L283" s="40"/>
    </row>
    <row r="284" spans="1:12" ht="15.75">
      <c r="A284" s="17"/>
      <c r="B284" s="64" t="s">
        <v>300</v>
      </c>
      <c r="C284" s="74" t="s">
        <v>265</v>
      </c>
      <c r="D284" s="71">
        <f>D285+D286+D287+D288</f>
        <v>0.05</v>
      </c>
      <c r="E284" s="71">
        <f>E285+E286+E287+E288</f>
        <v>0</v>
      </c>
      <c r="F284" s="71">
        <f>F285+F286+F287+F288</f>
        <v>0.05</v>
      </c>
      <c r="G284" s="71"/>
      <c r="H284" s="68">
        <f t="shared" si="18"/>
        <v>0</v>
      </c>
      <c r="I284" s="73">
        <f t="shared" si="19"/>
        <v>100</v>
      </c>
      <c r="J284" s="2"/>
      <c r="L284" s="40"/>
    </row>
    <row r="285" spans="1:12" ht="31.5">
      <c r="A285" s="17"/>
      <c r="B285" s="48" t="s">
        <v>309</v>
      </c>
      <c r="C285" s="18" t="s">
        <v>158</v>
      </c>
      <c r="D285" s="12">
        <v>0.05</v>
      </c>
      <c r="E285" s="12"/>
      <c r="F285" s="12">
        <v>0.05</v>
      </c>
      <c r="G285" s="12"/>
      <c r="H285" s="69">
        <f t="shared" si="18"/>
        <v>0</v>
      </c>
      <c r="I285" s="70">
        <f t="shared" si="19"/>
        <v>100</v>
      </c>
      <c r="J285" s="2"/>
      <c r="L285" s="40"/>
    </row>
    <row r="286" spans="1:12" ht="63" hidden="1">
      <c r="A286" s="17"/>
      <c r="B286" s="48" t="s">
        <v>19</v>
      </c>
      <c r="C286" s="7" t="s">
        <v>238</v>
      </c>
      <c r="D286" s="12"/>
      <c r="E286" s="12"/>
      <c r="F286" s="12"/>
      <c r="G286" s="12"/>
      <c r="H286" s="69">
        <f t="shared" si="18"/>
        <v>0</v>
      </c>
      <c r="I286" s="70" t="e">
        <f t="shared" si="19"/>
        <v>#DIV/0!</v>
      </c>
      <c r="J286" s="2"/>
      <c r="L286" s="40"/>
    </row>
    <row r="287" spans="1:12" ht="47.25" hidden="1">
      <c r="A287" s="17"/>
      <c r="B287" s="48" t="s">
        <v>25</v>
      </c>
      <c r="C287" s="3" t="s">
        <v>269</v>
      </c>
      <c r="D287" s="12"/>
      <c r="E287" s="12"/>
      <c r="F287" s="12"/>
      <c r="G287" s="12"/>
      <c r="H287" s="69">
        <f t="shared" si="18"/>
        <v>0</v>
      </c>
      <c r="I287" s="70" t="e">
        <f t="shared" si="19"/>
        <v>#DIV/0!</v>
      </c>
      <c r="J287" s="2"/>
      <c r="L287" s="40"/>
    </row>
    <row r="288" spans="1:12" ht="63" hidden="1">
      <c r="A288" s="17"/>
      <c r="B288" s="48" t="s">
        <v>312</v>
      </c>
      <c r="C288" s="18" t="s">
        <v>34</v>
      </c>
      <c r="D288" s="12"/>
      <c r="E288" s="12"/>
      <c r="F288" s="12"/>
      <c r="G288" s="12"/>
      <c r="H288" s="69">
        <f t="shared" si="18"/>
        <v>0</v>
      </c>
      <c r="I288" s="70" t="e">
        <f t="shared" si="19"/>
        <v>#DIV/0!</v>
      </c>
      <c r="J288" s="2"/>
      <c r="L288" s="40"/>
    </row>
    <row r="289" spans="1:12" ht="47.25" hidden="1">
      <c r="A289" s="27" t="s">
        <v>311</v>
      </c>
      <c r="B289" s="64" t="s">
        <v>321</v>
      </c>
      <c r="C289" s="55" t="s">
        <v>270</v>
      </c>
      <c r="D289" s="6"/>
      <c r="E289" s="6">
        <v>20.6</v>
      </c>
      <c r="F289" s="6"/>
      <c r="G289" s="5"/>
      <c r="H289" s="68">
        <f t="shared" si="18"/>
        <v>0</v>
      </c>
      <c r="I289" s="73" t="e">
        <f t="shared" si="19"/>
        <v>#DIV/0!</v>
      </c>
      <c r="J289" s="2"/>
      <c r="L289" s="40"/>
    </row>
    <row r="290" spans="1:12" ht="15.75">
      <c r="A290" s="19" t="s">
        <v>322</v>
      </c>
      <c r="B290" s="72" t="s">
        <v>335</v>
      </c>
      <c r="C290" s="63" t="s">
        <v>266</v>
      </c>
      <c r="D290" s="100">
        <f>D291+D292+D293+D294</f>
        <v>15.217030000000001</v>
      </c>
      <c r="E290" s="100">
        <f>E291+E292+E293+E294</f>
        <v>0</v>
      </c>
      <c r="F290" s="100">
        <f>F291+F292+F293+F294</f>
        <v>15.217030000000001</v>
      </c>
      <c r="G290" s="71"/>
      <c r="H290" s="68">
        <f t="shared" si="18"/>
        <v>0</v>
      </c>
      <c r="I290" s="73">
        <f t="shared" si="19"/>
        <v>100</v>
      </c>
      <c r="J290" s="2"/>
      <c r="L290" s="40"/>
    </row>
    <row r="291" spans="1:12" ht="15.75">
      <c r="A291" s="19"/>
      <c r="B291" s="72" t="s">
        <v>444</v>
      </c>
      <c r="C291" s="87" t="s">
        <v>271</v>
      </c>
      <c r="D291" s="100">
        <v>8.26703</v>
      </c>
      <c r="E291" s="71"/>
      <c r="F291" s="71">
        <v>8.26703</v>
      </c>
      <c r="G291" s="71"/>
      <c r="H291" s="68">
        <f t="shared" si="18"/>
        <v>0</v>
      </c>
      <c r="I291" s="73">
        <f t="shared" si="19"/>
        <v>100</v>
      </c>
      <c r="J291" s="2"/>
      <c r="L291" s="40"/>
    </row>
    <row r="292" spans="1:12" ht="15.75" customHeight="1">
      <c r="A292" s="19"/>
      <c r="B292" s="72" t="s">
        <v>445</v>
      </c>
      <c r="C292" s="87" t="s">
        <v>192</v>
      </c>
      <c r="D292" s="100">
        <v>0.34</v>
      </c>
      <c r="E292" s="71"/>
      <c r="F292" s="71">
        <v>0.34</v>
      </c>
      <c r="G292" s="71"/>
      <c r="H292" s="68">
        <f t="shared" si="18"/>
        <v>0</v>
      </c>
      <c r="I292" s="73">
        <f t="shared" si="19"/>
        <v>100</v>
      </c>
      <c r="J292" s="2"/>
      <c r="L292" s="40"/>
    </row>
    <row r="293" spans="1:12" ht="15.75">
      <c r="A293" s="19"/>
      <c r="B293" s="72" t="s">
        <v>446</v>
      </c>
      <c r="C293" s="99" t="s">
        <v>267</v>
      </c>
      <c r="D293" s="100">
        <v>2.22</v>
      </c>
      <c r="E293" s="71"/>
      <c r="F293" s="71">
        <v>2.22</v>
      </c>
      <c r="G293" s="71"/>
      <c r="H293" s="68">
        <f t="shared" si="18"/>
        <v>0</v>
      </c>
      <c r="I293" s="73">
        <f t="shared" si="19"/>
        <v>100</v>
      </c>
      <c r="J293" s="2"/>
      <c r="L293" s="40"/>
    </row>
    <row r="294" spans="1:12" ht="31.5">
      <c r="A294" s="19"/>
      <c r="B294" s="72" t="s">
        <v>424</v>
      </c>
      <c r="C294" s="99" t="s">
        <v>281</v>
      </c>
      <c r="D294" s="100">
        <v>4.39</v>
      </c>
      <c r="E294" s="71"/>
      <c r="F294" s="71">
        <v>4.39</v>
      </c>
      <c r="G294" s="71"/>
      <c r="H294" s="68">
        <f t="shared" si="18"/>
        <v>0</v>
      </c>
      <c r="I294" s="73">
        <f t="shared" si="19"/>
        <v>100</v>
      </c>
      <c r="J294" s="2"/>
      <c r="L294" s="40"/>
    </row>
    <row r="295" spans="1:12" ht="66" customHeight="1" hidden="1">
      <c r="A295" s="19"/>
      <c r="B295" s="72" t="s">
        <v>415</v>
      </c>
      <c r="C295" s="55" t="s">
        <v>282</v>
      </c>
      <c r="D295" s="100"/>
      <c r="E295" s="71"/>
      <c r="F295" s="71"/>
      <c r="G295" s="71"/>
      <c r="H295" s="68">
        <f>F295-D295</f>
        <v>0</v>
      </c>
      <c r="I295" s="76" t="e">
        <f>F295/D295*100</f>
        <v>#DIV/0!</v>
      </c>
      <c r="J295" s="2"/>
      <c r="L295" s="40"/>
    </row>
    <row r="296" spans="1:12" ht="31.5" hidden="1">
      <c r="A296" s="27" t="s">
        <v>323</v>
      </c>
      <c r="B296" s="64" t="s">
        <v>325</v>
      </c>
      <c r="C296" s="80" t="s">
        <v>39</v>
      </c>
      <c r="D296" s="6"/>
      <c r="E296" s="6">
        <v>0.1</v>
      </c>
      <c r="F296" s="5"/>
      <c r="G296" s="5" t="e">
        <f>F296-#REF!</f>
        <v>#REF!</v>
      </c>
      <c r="H296" s="68">
        <f t="shared" si="18"/>
        <v>0</v>
      </c>
      <c r="I296" s="73" t="e">
        <f t="shared" si="19"/>
        <v>#DIV/0!</v>
      </c>
      <c r="J296" s="2"/>
      <c r="L296" s="59"/>
    </row>
    <row r="297" spans="1:12" ht="18" customHeight="1">
      <c r="A297" s="27"/>
      <c r="B297" s="97"/>
      <c r="C297" s="74" t="s">
        <v>391</v>
      </c>
      <c r="D297" s="6">
        <f>D187+D257+D275</f>
        <v>30009.099819999996</v>
      </c>
      <c r="E297" s="6">
        <f>E187+E257+E275</f>
        <v>155.7</v>
      </c>
      <c r="F297" s="6">
        <f>F187+F257+F275</f>
        <v>5393.605339999999</v>
      </c>
      <c r="G297" s="6" t="e">
        <f>G257+#REF!+#REF!</f>
        <v>#REF!</v>
      </c>
      <c r="H297" s="68">
        <f t="shared" si="18"/>
        <v>-24615.494479999998</v>
      </c>
      <c r="I297" s="73">
        <f t="shared" si="19"/>
        <v>17.973232693922238</v>
      </c>
      <c r="L297" s="29"/>
    </row>
    <row r="298" spans="1:12" ht="18" customHeight="1">
      <c r="A298" s="27"/>
      <c r="B298" s="97"/>
      <c r="C298" s="74" t="s">
        <v>290</v>
      </c>
      <c r="D298" s="6">
        <f>D297+D185</f>
        <v>197042.50546</v>
      </c>
      <c r="E298" s="6"/>
      <c r="F298" s="6">
        <f>F297+F185</f>
        <v>56151.12089</v>
      </c>
      <c r="G298" s="6"/>
      <c r="H298" s="68">
        <f t="shared" si="18"/>
        <v>-140891.38457</v>
      </c>
      <c r="I298" s="73">
        <f t="shared" si="19"/>
        <v>28.496958439964004</v>
      </c>
      <c r="L298" s="29"/>
    </row>
    <row r="299" spans="1:12" ht="78" customHeight="1">
      <c r="A299" s="117" t="s">
        <v>28</v>
      </c>
      <c r="B299" s="117"/>
      <c r="C299" s="117"/>
      <c r="D299" s="117"/>
      <c r="E299" s="60"/>
      <c r="F299" s="114" t="s">
        <v>47</v>
      </c>
      <c r="G299" s="114"/>
      <c r="H299" s="114"/>
      <c r="I299" s="114"/>
      <c r="L299" s="29"/>
    </row>
    <row r="300" spans="1:12" ht="18" customHeight="1">
      <c r="A300" s="106"/>
      <c r="B300" s="106"/>
      <c r="C300" s="106"/>
      <c r="G300" s="107"/>
      <c r="H300" s="107"/>
      <c r="L300" s="29"/>
    </row>
    <row r="301" spans="1:12" ht="18" customHeight="1">
      <c r="A301" s="106"/>
      <c r="B301" s="106"/>
      <c r="C301" s="106"/>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2">
    <mergeCell ref="A300:C300"/>
    <mergeCell ref="G300:H300"/>
    <mergeCell ref="A301:C301"/>
    <mergeCell ref="H8:I8"/>
    <mergeCell ref="A11:I11"/>
    <mergeCell ref="A186:I186"/>
    <mergeCell ref="F299:I299"/>
    <mergeCell ref="A299:D299"/>
    <mergeCell ref="C2:I2"/>
    <mergeCell ref="C3:I3"/>
    <mergeCell ref="A6:I6"/>
    <mergeCell ref="A7:I7"/>
  </mergeCells>
  <printOptions/>
  <pageMargins left="1.41" right="0.31" top="0.55" bottom="0.19" header="0" footer="0"/>
  <pageSetup blackAndWhite="1" fitToHeight="17"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M422"/>
  <sheetViews>
    <sheetView workbookViewId="0" topLeftCell="B1">
      <selection activeCell="B25" sqref="A25:IV25"/>
    </sheetView>
  </sheetViews>
  <sheetFormatPr defaultColWidth="9.00390625" defaultRowHeight="12.75"/>
  <cols>
    <col min="1" max="1" width="7.75390625" style="21" hidden="1" customWidth="1"/>
    <col min="2" max="2" width="13.25390625" style="21" customWidth="1"/>
    <col min="3" max="3" width="62.37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0.75" customHeight="1">
      <c r="C1" s="62"/>
      <c r="D1" s="62"/>
      <c r="E1" s="62" t="s">
        <v>27</v>
      </c>
      <c r="F1" s="77" t="s">
        <v>29</v>
      </c>
      <c r="G1" s="62"/>
      <c r="H1" s="62"/>
      <c r="I1" s="62"/>
    </row>
    <row r="2" spans="3:9" s="52" customFormat="1" ht="26.25" customHeight="1" hidden="1">
      <c r="C2" s="115" t="s">
        <v>291</v>
      </c>
      <c r="D2" s="115"/>
      <c r="E2" s="115"/>
      <c r="F2" s="115"/>
      <c r="G2" s="115"/>
      <c r="H2" s="115"/>
      <c r="I2" s="115"/>
    </row>
    <row r="3" spans="3:9" s="52" customFormat="1" ht="25.5" customHeight="1" hidden="1">
      <c r="C3" s="115" t="s">
        <v>76</v>
      </c>
      <c r="D3" s="115"/>
      <c r="E3" s="115"/>
      <c r="F3" s="115"/>
      <c r="G3" s="115"/>
      <c r="H3" s="115"/>
      <c r="I3" s="115"/>
    </row>
    <row r="4" spans="5:9" s="52" customFormat="1" ht="24.75" customHeight="1" hidden="1">
      <c r="E4" s="62"/>
      <c r="F4" s="78" t="s">
        <v>95</v>
      </c>
      <c r="G4" s="62"/>
      <c r="H4" s="53"/>
      <c r="I4" s="53"/>
    </row>
    <row r="5" spans="5:9" s="52" customFormat="1" ht="24.75" customHeight="1" hidden="1">
      <c r="E5" s="62"/>
      <c r="F5" s="78" t="s">
        <v>97</v>
      </c>
      <c r="G5" s="62"/>
      <c r="H5" s="53"/>
      <c r="I5" s="53"/>
    </row>
    <row r="6" spans="1:12" s="52" customFormat="1" ht="24.75" customHeight="1">
      <c r="A6" s="116" t="s">
        <v>24</v>
      </c>
      <c r="B6" s="116"/>
      <c r="C6" s="116"/>
      <c r="D6" s="116"/>
      <c r="E6" s="116"/>
      <c r="F6" s="116"/>
      <c r="G6" s="116"/>
      <c r="H6" s="116"/>
      <c r="I6" s="116"/>
      <c r="J6" s="53"/>
      <c r="L6" s="54"/>
    </row>
    <row r="7" spans="1:12" s="52" customFormat="1" ht="26.25">
      <c r="A7" s="116" t="s">
        <v>276</v>
      </c>
      <c r="B7" s="116"/>
      <c r="C7" s="116"/>
      <c r="D7" s="116"/>
      <c r="E7" s="116"/>
      <c r="F7" s="116"/>
      <c r="G7" s="116"/>
      <c r="H7" s="116"/>
      <c r="I7" s="116"/>
      <c r="J7" s="56"/>
      <c r="L7" s="54"/>
    </row>
    <row r="8" spans="8:13" ht="15.75">
      <c r="H8" s="108" t="s">
        <v>56</v>
      </c>
      <c r="I8" s="108"/>
      <c r="J8" s="30"/>
      <c r="K8" s="31"/>
      <c r="L8" s="30"/>
      <c r="M8" s="31"/>
    </row>
    <row r="9" spans="1:12" ht="78.75">
      <c r="A9" s="32" t="s">
        <v>292</v>
      </c>
      <c r="B9" s="32" t="s">
        <v>293</v>
      </c>
      <c r="C9" s="32" t="s">
        <v>294</v>
      </c>
      <c r="D9" s="33" t="s">
        <v>57</v>
      </c>
      <c r="E9" s="32" t="s">
        <v>456</v>
      </c>
      <c r="F9" s="32" t="s">
        <v>277</v>
      </c>
      <c r="G9" s="33" t="s">
        <v>451</v>
      </c>
      <c r="H9" s="32" t="s">
        <v>59</v>
      </c>
      <c r="I9" s="32" t="s">
        <v>60</v>
      </c>
      <c r="J9" s="34"/>
      <c r="L9" s="34"/>
    </row>
    <row r="10" spans="1:12" ht="15.75">
      <c r="A10" s="35">
        <v>1</v>
      </c>
      <c r="B10" s="35">
        <v>1</v>
      </c>
      <c r="C10" s="35">
        <v>2</v>
      </c>
      <c r="D10" s="35">
        <v>3</v>
      </c>
      <c r="E10" s="35">
        <v>4</v>
      </c>
      <c r="F10" s="35">
        <v>4</v>
      </c>
      <c r="G10" s="36">
        <v>6</v>
      </c>
      <c r="H10" s="35">
        <v>5</v>
      </c>
      <c r="I10" s="35">
        <v>6</v>
      </c>
      <c r="J10" s="57"/>
      <c r="L10" s="29"/>
    </row>
    <row r="11" spans="1:12" ht="15.75">
      <c r="A11" s="109"/>
      <c r="B11" s="109"/>
      <c r="C11" s="109"/>
      <c r="D11" s="109"/>
      <c r="E11" s="109"/>
      <c r="F11" s="109"/>
      <c r="G11" s="109"/>
      <c r="H11" s="109"/>
      <c r="I11" s="110"/>
      <c r="J11" s="2"/>
      <c r="L11" s="37"/>
    </row>
    <row r="12" spans="1:12" ht="15.75">
      <c r="A12" s="16" t="s">
        <v>295</v>
      </c>
      <c r="B12" s="79" t="s">
        <v>296</v>
      </c>
      <c r="C12" s="80" t="s">
        <v>98</v>
      </c>
      <c r="D12" s="5">
        <f>SUM(D13:D21)</f>
        <v>11312.50986</v>
      </c>
      <c r="E12" s="5">
        <f>SUM(E13:E21)</f>
        <v>3613.0000000000005</v>
      </c>
      <c r="F12" s="5">
        <f>SUM(F13:F21)</f>
        <v>3963.9102200000007</v>
      </c>
      <c r="G12" s="5" t="e">
        <f>SUM(G13:G21)</f>
        <v>#REF!</v>
      </c>
      <c r="H12" s="5">
        <f aca="true" t="shared" si="0" ref="H12:H36">F12-D12</f>
        <v>-7348.599639999999</v>
      </c>
      <c r="I12" s="6">
        <f aca="true" t="shared" si="1" ref="I12:I28">F12/D12*100</f>
        <v>35.04005980154788</v>
      </c>
      <c r="J12" s="2"/>
      <c r="L12" s="37"/>
    </row>
    <row r="13" spans="1:12" ht="15.75">
      <c r="A13" s="17" t="s">
        <v>295</v>
      </c>
      <c r="B13" s="48" t="s">
        <v>296</v>
      </c>
      <c r="C13" s="18" t="s">
        <v>114</v>
      </c>
      <c r="D13" s="6">
        <f>661.187+1.6</f>
        <v>662.787</v>
      </c>
      <c r="E13" s="1">
        <v>314.3</v>
      </c>
      <c r="F13" s="4">
        <v>264.80389</v>
      </c>
      <c r="G13" s="5">
        <f>F13-L12</f>
        <v>264.80389</v>
      </c>
      <c r="H13" s="4">
        <f t="shared" si="0"/>
        <v>-397.98311</v>
      </c>
      <c r="I13" s="1">
        <f t="shared" si="1"/>
        <v>39.95309051022426</v>
      </c>
      <c r="J13" s="2"/>
      <c r="L13" s="37"/>
    </row>
    <row r="14" spans="1:12" ht="31.5">
      <c r="A14" s="17" t="s">
        <v>295</v>
      </c>
      <c r="B14" s="48" t="s">
        <v>296</v>
      </c>
      <c r="C14" s="18" t="s">
        <v>118</v>
      </c>
      <c r="D14" s="6">
        <v>5185.09256</v>
      </c>
      <c r="E14" s="1">
        <v>1487.3</v>
      </c>
      <c r="F14" s="4">
        <v>1786.14759</v>
      </c>
      <c r="G14" s="5">
        <f>F14-L13</f>
        <v>1786.14759</v>
      </c>
      <c r="H14" s="4">
        <f t="shared" si="0"/>
        <v>-3398.94497</v>
      </c>
      <c r="I14" s="1">
        <f t="shared" si="1"/>
        <v>34.44774744773312</v>
      </c>
      <c r="J14" s="2"/>
      <c r="L14" s="37"/>
    </row>
    <row r="15" spans="1:12" ht="47.25">
      <c r="A15" s="17"/>
      <c r="B15" s="48" t="s">
        <v>296</v>
      </c>
      <c r="C15" s="18" t="s">
        <v>251</v>
      </c>
      <c r="D15" s="6">
        <v>42.653</v>
      </c>
      <c r="E15" s="1"/>
      <c r="F15" s="4">
        <v>5.146</v>
      </c>
      <c r="G15" s="5"/>
      <c r="H15" s="4">
        <f t="shared" si="0"/>
        <v>-37.507</v>
      </c>
      <c r="I15" s="1">
        <f t="shared" si="1"/>
        <v>12.064802006892833</v>
      </c>
      <c r="J15" s="2"/>
      <c r="L15" s="37"/>
    </row>
    <row r="16" spans="1:12" ht="31.5">
      <c r="A16" s="17" t="s">
        <v>295</v>
      </c>
      <c r="B16" s="48" t="s">
        <v>296</v>
      </c>
      <c r="C16" s="18" t="s">
        <v>119</v>
      </c>
      <c r="D16" s="6">
        <v>1142.398</v>
      </c>
      <c r="E16" s="1">
        <v>432.3</v>
      </c>
      <c r="F16" s="4">
        <v>377.3475</v>
      </c>
      <c r="G16" s="5">
        <f>F16-L14</f>
        <v>377.3475</v>
      </c>
      <c r="H16" s="4">
        <f t="shared" si="0"/>
        <v>-765.0504999999998</v>
      </c>
      <c r="I16" s="1">
        <f t="shared" si="1"/>
        <v>33.031176525168995</v>
      </c>
      <c r="J16" s="2"/>
      <c r="L16" s="37"/>
    </row>
    <row r="17" spans="1:12" ht="31.5">
      <c r="A17" s="17" t="s">
        <v>295</v>
      </c>
      <c r="B17" s="48" t="s">
        <v>296</v>
      </c>
      <c r="C17" s="7" t="s">
        <v>120</v>
      </c>
      <c r="D17" s="6">
        <v>1838.62908</v>
      </c>
      <c r="E17" s="1">
        <v>549.7</v>
      </c>
      <c r="F17" s="4">
        <v>628.43652</v>
      </c>
      <c r="G17" s="5">
        <f>F17-L16</f>
        <v>628.43652</v>
      </c>
      <c r="H17" s="4">
        <f t="shared" si="0"/>
        <v>-1210.19256</v>
      </c>
      <c r="I17" s="1">
        <f t="shared" si="1"/>
        <v>34.1796247451933</v>
      </c>
      <c r="J17" s="2"/>
      <c r="L17" s="37"/>
    </row>
    <row r="18" spans="1:12" ht="47.25">
      <c r="A18" s="17" t="s">
        <v>295</v>
      </c>
      <c r="B18" s="48" t="s">
        <v>296</v>
      </c>
      <c r="C18" s="7" t="s">
        <v>121</v>
      </c>
      <c r="D18" s="6">
        <v>846.4</v>
      </c>
      <c r="E18" s="1">
        <v>309</v>
      </c>
      <c r="F18" s="4">
        <v>288.22086</v>
      </c>
      <c r="G18" s="5">
        <f>F18-L17</f>
        <v>288.22086</v>
      </c>
      <c r="H18" s="4">
        <f t="shared" si="0"/>
        <v>-558.17914</v>
      </c>
      <c r="I18" s="1">
        <f t="shared" si="1"/>
        <v>34.05255907372401</v>
      </c>
      <c r="J18" s="2"/>
      <c r="L18" s="37"/>
    </row>
    <row r="19" spans="1:12" ht="31.5">
      <c r="A19" s="17" t="s">
        <v>295</v>
      </c>
      <c r="B19" s="48" t="s">
        <v>296</v>
      </c>
      <c r="C19" s="7" t="s">
        <v>122</v>
      </c>
      <c r="D19" s="6">
        <v>763.1878</v>
      </c>
      <c r="E19" s="1">
        <v>258.7</v>
      </c>
      <c r="F19" s="4">
        <v>301.37318</v>
      </c>
      <c r="G19" s="5">
        <f>F19-L18</f>
        <v>301.37318</v>
      </c>
      <c r="H19" s="4">
        <f t="shared" si="0"/>
        <v>-461.81462000000005</v>
      </c>
      <c r="I19" s="1">
        <f t="shared" si="1"/>
        <v>39.48873134502412</v>
      </c>
      <c r="J19" s="2"/>
      <c r="L19" s="37"/>
    </row>
    <row r="20" spans="1:12" ht="31.5">
      <c r="A20" s="17" t="s">
        <v>295</v>
      </c>
      <c r="B20" s="48" t="s">
        <v>296</v>
      </c>
      <c r="C20" s="18" t="s">
        <v>123</v>
      </c>
      <c r="D20" s="6">
        <v>441.5034</v>
      </c>
      <c r="E20" s="1">
        <v>132.9</v>
      </c>
      <c r="F20" s="4">
        <v>167.31343</v>
      </c>
      <c r="G20" s="5" t="e">
        <f>F20-#REF!</f>
        <v>#REF!</v>
      </c>
      <c r="H20" s="4">
        <f t="shared" si="0"/>
        <v>-274.18997</v>
      </c>
      <c r="I20" s="1">
        <f t="shared" si="1"/>
        <v>37.89629479637077</v>
      </c>
      <c r="J20" s="2"/>
      <c r="L20" s="37"/>
    </row>
    <row r="21" spans="1:12" ht="31.5">
      <c r="A21" s="17" t="s">
        <v>295</v>
      </c>
      <c r="B21" s="48" t="s">
        <v>296</v>
      </c>
      <c r="C21" s="18" t="s">
        <v>124</v>
      </c>
      <c r="D21" s="6">
        <v>389.85902</v>
      </c>
      <c r="E21" s="1">
        <v>128.8</v>
      </c>
      <c r="F21" s="4">
        <v>145.12125</v>
      </c>
      <c r="G21" s="5">
        <f>F21-L20</f>
        <v>145.12125</v>
      </c>
      <c r="H21" s="4">
        <f t="shared" si="0"/>
        <v>-244.73776999999998</v>
      </c>
      <c r="I21" s="1">
        <f t="shared" si="1"/>
        <v>37.22403293375128</v>
      </c>
      <c r="J21" s="2"/>
      <c r="L21" s="2"/>
    </row>
    <row r="22" spans="1:12" ht="63">
      <c r="A22" s="17"/>
      <c r="B22" s="72" t="s">
        <v>478</v>
      </c>
      <c r="C22" s="55" t="s">
        <v>125</v>
      </c>
      <c r="D22" s="46">
        <v>36.31</v>
      </c>
      <c r="E22" s="46"/>
      <c r="F22" s="5">
        <v>0</v>
      </c>
      <c r="G22" s="5"/>
      <c r="H22" s="5">
        <f t="shared" si="0"/>
        <v>-36.31</v>
      </c>
      <c r="I22" s="6">
        <f t="shared" si="1"/>
        <v>0</v>
      </c>
      <c r="J22" s="2"/>
      <c r="L22" s="2"/>
    </row>
    <row r="23" spans="1:12" ht="15.75">
      <c r="A23" s="17" t="s">
        <v>297</v>
      </c>
      <c r="B23" s="64" t="s">
        <v>298</v>
      </c>
      <c r="C23" s="74" t="s">
        <v>99</v>
      </c>
      <c r="D23" s="6">
        <f>SUM(D24:D30)</f>
        <v>61746.15832</v>
      </c>
      <c r="E23" s="6">
        <f>SUM(E24:E30)</f>
        <v>21838.1</v>
      </c>
      <c r="F23" s="6">
        <f>SUM(F24:F30)</f>
        <v>25300.55859</v>
      </c>
      <c r="G23" s="6">
        <f>SUM(G24:G30)</f>
        <v>25300.55859</v>
      </c>
      <c r="H23" s="5">
        <f t="shared" si="0"/>
        <v>-36445.59973</v>
      </c>
      <c r="I23" s="6">
        <f t="shared" si="1"/>
        <v>40.97511372105069</v>
      </c>
      <c r="J23" s="2"/>
      <c r="L23" s="37"/>
    </row>
    <row r="24" spans="1:12" ht="15.75">
      <c r="A24" s="17" t="s">
        <v>357</v>
      </c>
      <c r="B24" s="64" t="s">
        <v>356</v>
      </c>
      <c r="C24" s="74" t="s">
        <v>393</v>
      </c>
      <c r="D24" s="6">
        <f>22213.52117+2.5-10.995</f>
        <v>22205.02617</v>
      </c>
      <c r="E24" s="6">
        <v>7100.2</v>
      </c>
      <c r="F24" s="5">
        <v>9007.88719</v>
      </c>
      <c r="G24" s="5">
        <f>F24-L23</f>
        <v>9007.88719</v>
      </c>
      <c r="H24" s="5">
        <f t="shared" si="0"/>
        <v>-13197.138980000002</v>
      </c>
      <c r="I24" s="6">
        <f t="shared" si="1"/>
        <v>40.5668839164444</v>
      </c>
      <c r="J24" s="2"/>
      <c r="L24" s="37"/>
    </row>
    <row r="25" spans="1:12" ht="33" customHeight="1">
      <c r="A25" s="17"/>
      <c r="B25" s="64" t="s">
        <v>356</v>
      </c>
      <c r="C25" s="74" t="s">
        <v>126</v>
      </c>
      <c r="D25" s="6">
        <v>1.514</v>
      </c>
      <c r="E25" s="6"/>
      <c r="F25" s="5">
        <v>0</v>
      </c>
      <c r="G25" s="5"/>
      <c r="H25" s="5">
        <f t="shared" si="0"/>
        <v>-1.514</v>
      </c>
      <c r="I25" s="6">
        <f t="shared" si="1"/>
        <v>0</v>
      </c>
      <c r="J25" s="2"/>
      <c r="L25" s="37"/>
    </row>
    <row r="26" spans="1:12" ht="15.75">
      <c r="A26" s="17" t="s">
        <v>359</v>
      </c>
      <c r="B26" s="64" t="s">
        <v>358</v>
      </c>
      <c r="C26" s="74" t="s">
        <v>394</v>
      </c>
      <c r="D26" s="6">
        <f>32238.68869-2.5</f>
        <v>32236.18869</v>
      </c>
      <c r="E26" s="6">
        <v>12055.3</v>
      </c>
      <c r="F26" s="5">
        <v>13437.83023</v>
      </c>
      <c r="G26" s="5">
        <f>F26-L24</f>
        <v>13437.83023</v>
      </c>
      <c r="H26" s="5">
        <f t="shared" si="0"/>
        <v>-18798.35846</v>
      </c>
      <c r="I26" s="6">
        <f t="shared" si="1"/>
        <v>41.68554278927073</v>
      </c>
      <c r="J26" s="2"/>
      <c r="L26" s="37"/>
    </row>
    <row r="27" spans="1:12" ht="31.5">
      <c r="A27" s="17" t="s">
        <v>357</v>
      </c>
      <c r="B27" s="64" t="s">
        <v>457</v>
      </c>
      <c r="C27" s="74" t="s">
        <v>127</v>
      </c>
      <c r="D27" s="6">
        <v>230.5</v>
      </c>
      <c r="E27" s="6">
        <v>59.1</v>
      </c>
      <c r="F27" s="5">
        <v>105.0401</v>
      </c>
      <c r="G27" s="5">
        <f>F27-L26</f>
        <v>105.0401</v>
      </c>
      <c r="H27" s="5">
        <f t="shared" si="0"/>
        <v>-125.4599</v>
      </c>
      <c r="I27" s="6">
        <f t="shared" si="1"/>
        <v>45.570542299349235</v>
      </c>
      <c r="J27" s="2"/>
      <c r="L27" s="37"/>
    </row>
    <row r="28" spans="1:12" ht="21.75" customHeight="1">
      <c r="A28" s="17" t="s">
        <v>361</v>
      </c>
      <c r="B28" s="64" t="s">
        <v>360</v>
      </c>
      <c r="C28" s="74" t="s">
        <v>395</v>
      </c>
      <c r="D28" s="6">
        <f>3224.958+6</f>
        <v>3230.958</v>
      </c>
      <c r="E28" s="6">
        <v>1069.7</v>
      </c>
      <c r="F28" s="5">
        <v>1273.88851</v>
      </c>
      <c r="G28" s="5">
        <f>F28-L27</f>
        <v>1273.88851</v>
      </c>
      <c r="H28" s="5">
        <f t="shared" si="0"/>
        <v>-1957.06949</v>
      </c>
      <c r="I28" s="6">
        <f t="shared" si="1"/>
        <v>39.42757875527939</v>
      </c>
      <c r="J28" s="2"/>
      <c r="L28" s="37"/>
    </row>
    <row r="29" spans="1:12" ht="19.5" customHeight="1" hidden="1">
      <c r="A29" s="17" t="s">
        <v>361</v>
      </c>
      <c r="B29" s="64" t="s">
        <v>360</v>
      </c>
      <c r="C29" s="74" t="s">
        <v>388</v>
      </c>
      <c r="D29" s="6"/>
      <c r="E29" s="6"/>
      <c r="F29" s="5"/>
      <c r="G29" s="5">
        <f>F29-L28</f>
        <v>0</v>
      </c>
      <c r="H29" s="5">
        <f t="shared" si="0"/>
        <v>0</v>
      </c>
      <c r="I29" s="6"/>
      <c r="J29" s="2"/>
      <c r="L29" s="37"/>
    </row>
    <row r="30" spans="1:12" ht="15.75">
      <c r="A30" s="17" t="s">
        <v>362</v>
      </c>
      <c r="B30" s="64" t="s">
        <v>363</v>
      </c>
      <c r="C30" s="74" t="s">
        <v>100</v>
      </c>
      <c r="D30" s="5">
        <f>SUM(D31:D37)</f>
        <v>3841.9714599999998</v>
      </c>
      <c r="E30" s="5">
        <f>SUM(E31:E37)</f>
        <v>1553.8000000000002</v>
      </c>
      <c r="F30" s="5">
        <f>SUM(F31:F37)</f>
        <v>1475.91256</v>
      </c>
      <c r="G30" s="5">
        <f>SUM(G31:G37)</f>
        <v>1475.91256</v>
      </c>
      <c r="H30" s="5">
        <f t="shared" si="0"/>
        <v>-2366.0589</v>
      </c>
      <c r="I30" s="6">
        <f aca="true" t="shared" si="2" ref="I30:I36">F30/D30*100</f>
        <v>38.41550035876633</v>
      </c>
      <c r="J30" s="2"/>
      <c r="L30" s="37"/>
    </row>
    <row r="31" spans="1:12" ht="24" customHeight="1">
      <c r="A31" s="17" t="s">
        <v>362</v>
      </c>
      <c r="B31" s="48" t="s">
        <v>375</v>
      </c>
      <c r="C31" s="18" t="s">
        <v>396</v>
      </c>
      <c r="D31" s="1">
        <f>630.073-5</f>
        <v>625.073</v>
      </c>
      <c r="E31" s="1">
        <v>171.2</v>
      </c>
      <c r="F31" s="4">
        <v>252.86428</v>
      </c>
      <c r="G31" s="5">
        <f aca="true" t="shared" si="3" ref="G31:G37">F31-L30</f>
        <v>252.86428</v>
      </c>
      <c r="H31" s="4">
        <f t="shared" si="0"/>
        <v>-372.20871999999997</v>
      </c>
      <c r="I31" s="1">
        <f t="shared" si="2"/>
        <v>40.45355982421254</v>
      </c>
      <c r="J31" s="2"/>
      <c r="L31" s="37"/>
    </row>
    <row r="32" spans="1:12" ht="15.75">
      <c r="A32" s="17" t="s">
        <v>362</v>
      </c>
      <c r="B32" s="48" t="s">
        <v>376</v>
      </c>
      <c r="C32" s="18" t="s">
        <v>397</v>
      </c>
      <c r="D32" s="1">
        <f>1105.39375+3.4</f>
        <v>1108.79375</v>
      </c>
      <c r="E32" s="1">
        <v>275.5</v>
      </c>
      <c r="F32" s="4">
        <v>418.94829</v>
      </c>
      <c r="G32" s="5">
        <f t="shared" si="3"/>
        <v>418.94829</v>
      </c>
      <c r="H32" s="4">
        <f t="shared" si="0"/>
        <v>-689.84546</v>
      </c>
      <c r="I32" s="1">
        <f t="shared" si="2"/>
        <v>37.78414966714955</v>
      </c>
      <c r="J32" s="2"/>
      <c r="L32" s="37"/>
    </row>
    <row r="33" spans="1:12" ht="33" customHeight="1">
      <c r="A33" s="17" t="s">
        <v>362</v>
      </c>
      <c r="B33" s="48" t="s">
        <v>377</v>
      </c>
      <c r="C33" s="18" t="s">
        <v>398</v>
      </c>
      <c r="D33" s="1">
        <v>821.70071</v>
      </c>
      <c r="E33" s="1">
        <v>185</v>
      </c>
      <c r="F33" s="4">
        <v>341.24047</v>
      </c>
      <c r="G33" s="5">
        <f t="shared" si="3"/>
        <v>341.24047</v>
      </c>
      <c r="H33" s="4">
        <f t="shared" si="0"/>
        <v>-480.46023999999994</v>
      </c>
      <c r="I33" s="1">
        <f t="shared" si="2"/>
        <v>41.528559711235985</v>
      </c>
      <c r="J33" s="2"/>
      <c r="L33" s="37"/>
    </row>
    <row r="34" spans="1:12" ht="18.75" customHeight="1">
      <c r="A34" s="17" t="s">
        <v>362</v>
      </c>
      <c r="B34" s="48" t="s">
        <v>372</v>
      </c>
      <c r="C34" s="18" t="s">
        <v>399</v>
      </c>
      <c r="D34" s="1">
        <v>1046.053</v>
      </c>
      <c r="E34" s="1">
        <v>439.2</v>
      </c>
      <c r="F34" s="4">
        <v>421.66606</v>
      </c>
      <c r="G34" s="5">
        <f t="shared" si="3"/>
        <v>421.66606</v>
      </c>
      <c r="H34" s="4">
        <f t="shared" si="0"/>
        <v>-624.3869400000001</v>
      </c>
      <c r="I34" s="1">
        <f t="shared" si="2"/>
        <v>40.310200343577236</v>
      </c>
      <c r="J34" s="2"/>
      <c r="L34" s="37"/>
    </row>
    <row r="35" spans="1:12" ht="35.25" customHeight="1">
      <c r="A35" s="17" t="s">
        <v>362</v>
      </c>
      <c r="B35" s="48" t="s">
        <v>434</v>
      </c>
      <c r="C35" s="18" t="s">
        <v>128</v>
      </c>
      <c r="D35" s="1">
        <v>233.111</v>
      </c>
      <c r="E35" s="1">
        <v>76</v>
      </c>
      <c r="F35" s="4">
        <v>40.09346</v>
      </c>
      <c r="G35" s="5">
        <f t="shared" si="3"/>
        <v>40.09346</v>
      </c>
      <c r="H35" s="4">
        <f t="shared" si="0"/>
        <v>-193.01754</v>
      </c>
      <c r="I35" s="1">
        <f t="shared" si="2"/>
        <v>17.19929990433742</v>
      </c>
      <c r="J35" s="2"/>
      <c r="L35" s="37"/>
    </row>
    <row r="36" spans="1:12" ht="30" customHeight="1">
      <c r="A36" s="19" t="s">
        <v>362</v>
      </c>
      <c r="B36" s="49" t="s">
        <v>422</v>
      </c>
      <c r="C36" s="7" t="s">
        <v>423</v>
      </c>
      <c r="D36" s="1">
        <v>7.24</v>
      </c>
      <c r="E36" s="1">
        <v>4</v>
      </c>
      <c r="F36" s="4">
        <v>1.1</v>
      </c>
      <c r="G36" s="5">
        <f t="shared" si="3"/>
        <v>1.1</v>
      </c>
      <c r="H36" s="4">
        <f t="shared" si="0"/>
        <v>-6.140000000000001</v>
      </c>
      <c r="I36" s="1">
        <f t="shared" si="2"/>
        <v>15.193370165745856</v>
      </c>
      <c r="J36" s="2"/>
      <c r="L36" s="37"/>
    </row>
    <row r="37" spans="1:12" ht="1.5" customHeight="1" hidden="1">
      <c r="A37" s="19" t="s">
        <v>362</v>
      </c>
      <c r="B37" s="49" t="s">
        <v>430</v>
      </c>
      <c r="C37" s="18" t="s">
        <v>460</v>
      </c>
      <c r="D37" s="1"/>
      <c r="E37" s="1">
        <v>402.9</v>
      </c>
      <c r="F37" s="4"/>
      <c r="G37" s="5">
        <f t="shared" si="3"/>
        <v>0</v>
      </c>
      <c r="H37" s="4"/>
      <c r="I37" s="1"/>
      <c r="J37" s="2"/>
      <c r="K37" s="2"/>
      <c r="L37" s="2"/>
    </row>
    <row r="38" spans="1:12" ht="15.75" hidden="1">
      <c r="A38" s="17" t="s">
        <v>400</v>
      </c>
      <c r="B38" s="48" t="s">
        <v>299</v>
      </c>
      <c r="C38" s="18" t="s">
        <v>401</v>
      </c>
      <c r="D38" s="1">
        <f>SUM(D39:D39)</f>
        <v>0</v>
      </c>
      <c r="E38" s="1">
        <f>SUM(E39:E39)</f>
        <v>0</v>
      </c>
      <c r="F38" s="1">
        <f>SUM(F39:F39)</f>
        <v>0</v>
      </c>
      <c r="G38" s="6">
        <f>SUM(G39:G39)</f>
        <v>0</v>
      </c>
      <c r="H38" s="4">
        <f aca="true" t="shared" si="4" ref="H38:H69">F38-D38</f>
        <v>0</v>
      </c>
      <c r="I38" s="1" t="e">
        <f aca="true" t="shared" si="5" ref="I38:I69">F38/D38*100</f>
        <v>#DIV/0!</v>
      </c>
      <c r="J38" s="2"/>
      <c r="L38" s="37"/>
    </row>
    <row r="39" spans="1:12" ht="47.25" hidden="1">
      <c r="A39" s="17" t="s">
        <v>345</v>
      </c>
      <c r="B39" s="48" t="s">
        <v>346</v>
      </c>
      <c r="C39" s="7" t="s">
        <v>426</v>
      </c>
      <c r="D39" s="1"/>
      <c r="E39" s="1"/>
      <c r="F39" s="4"/>
      <c r="G39" s="5">
        <f>F39-L38</f>
        <v>0</v>
      </c>
      <c r="H39" s="4">
        <f t="shared" si="4"/>
        <v>0</v>
      </c>
      <c r="I39" s="1" t="e">
        <f t="shared" si="5"/>
        <v>#DIV/0!</v>
      </c>
      <c r="J39" s="2"/>
      <c r="L39" s="2"/>
    </row>
    <row r="40" spans="1:12" ht="33.75" customHeight="1">
      <c r="A40" s="17" t="s">
        <v>402</v>
      </c>
      <c r="B40" s="64" t="s">
        <v>300</v>
      </c>
      <c r="C40" s="55" t="s">
        <v>101</v>
      </c>
      <c r="D40" s="6">
        <f>D41+D54+D92+D94+D105+D111+D62+D93</f>
        <v>36660.40464</v>
      </c>
      <c r="E40" s="6">
        <f>E41+E54+E92+E94+E105+E111+E62+E93</f>
        <v>5469.299999999999</v>
      </c>
      <c r="F40" s="6">
        <f>F41+F54+F62+F92+F93+F94+F105+F111</f>
        <v>13755.064669999996</v>
      </c>
      <c r="G40" s="6" t="e">
        <f>G41+G54+G63+G64+#REF!+G85+G88+G91+G92+G94+G105+G112</f>
        <v>#REF!</v>
      </c>
      <c r="H40" s="5">
        <f t="shared" si="4"/>
        <v>-22905.339970000005</v>
      </c>
      <c r="I40" s="6">
        <f t="shared" si="5"/>
        <v>37.52022053513263</v>
      </c>
      <c r="J40" s="2"/>
      <c r="L40" s="2"/>
    </row>
    <row r="41" spans="1:12" ht="31.5" customHeight="1">
      <c r="A41" s="17"/>
      <c r="B41" s="79" t="s">
        <v>440</v>
      </c>
      <c r="C41" s="74" t="s">
        <v>102</v>
      </c>
      <c r="D41" s="6">
        <f>SUM(D42:D53)</f>
        <v>3645.6000000000004</v>
      </c>
      <c r="E41" s="6">
        <f>SUM(E42:E53)</f>
        <v>1141.1</v>
      </c>
      <c r="F41" s="6">
        <f>SUM(F42:F53)</f>
        <v>1017.6767399999999</v>
      </c>
      <c r="G41" s="6">
        <f>SUM(G42:G52)</f>
        <v>956.0170099999999</v>
      </c>
      <c r="H41" s="5">
        <f t="shared" si="4"/>
        <v>-2627.9232600000005</v>
      </c>
      <c r="I41" s="6">
        <f t="shared" si="5"/>
        <v>27.915205727452264</v>
      </c>
      <c r="J41" s="2"/>
      <c r="L41" s="37"/>
    </row>
    <row r="42" spans="1:12" ht="189" customHeight="1">
      <c r="A42" s="17" t="s">
        <v>301</v>
      </c>
      <c r="B42" s="64" t="s">
        <v>302</v>
      </c>
      <c r="C42" s="83" t="s">
        <v>132</v>
      </c>
      <c r="D42" s="6">
        <v>1600</v>
      </c>
      <c r="E42" s="6">
        <v>482.5</v>
      </c>
      <c r="F42" s="5">
        <v>398.76579</v>
      </c>
      <c r="G42" s="5">
        <f aca="true" t="shared" si="6" ref="G42:G52">F42-L41</f>
        <v>398.76579</v>
      </c>
      <c r="H42" s="5">
        <f t="shared" si="4"/>
        <v>-1201.23421</v>
      </c>
      <c r="I42" s="6">
        <f t="shared" si="5"/>
        <v>24.922861875</v>
      </c>
      <c r="J42" s="2"/>
      <c r="L42" s="37"/>
    </row>
    <row r="43" spans="1:12" ht="158.25" customHeight="1">
      <c r="A43" s="17" t="s">
        <v>301</v>
      </c>
      <c r="B43" s="64" t="s">
        <v>348</v>
      </c>
      <c r="C43" s="82" t="s">
        <v>133</v>
      </c>
      <c r="D43" s="6">
        <v>2</v>
      </c>
      <c r="E43" s="6">
        <v>10.7</v>
      </c>
      <c r="F43" s="5">
        <v>0</v>
      </c>
      <c r="G43" s="5">
        <f t="shared" si="6"/>
        <v>0</v>
      </c>
      <c r="H43" s="5">
        <f t="shared" si="4"/>
        <v>-2</v>
      </c>
      <c r="I43" s="6">
        <f t="shared" si="5"/>
        <v>0</v>
      </c>
      <c r="J43" s="2"/>
      <c r="L43" s="37"/>
    </row>
    <row r="44" spans="1:12" ht="174.75" customHeight="1">
      <c r="A44" s="17" t="s">
        <v>301</v>
      </c>
      <c r="B44" s="64" t="s">
        <v>349</v>
      </c>
      <c r="C44" s="82" t="s">
        <v>137</v>
      </c>
      <c r="D44" s="6">
        <v>16</v>
      </c>
      <c r="E44" s="6">
        <v>105.6</v>
      </c>
      <c r="F44" s="5">
        <v>1.186</v>
      </c>
      <c r="G44" s="5">
        <f t="shared" si="6"/>
        <v>1.186</v>
      </c>
      <c r="H44" s="5">
        <f t="shared" si="4"/>
        <v>-14.814</v>
      </c>
      <c r="I44" s="6">
        <f t="shared" si="5"/>
        <v>7.4125</v>
      </c>
      <c r="J44" s="2"/>
      <c r="L44" s="37"/>
    </row>
    <row r="45" spans="1:12" ht="321" customHeight="1">
      <c r="A45" s="17" t="s">
        <v>301</v>
      </c>
      <c r="B45" s="64" t="s">
        <v>350</v>
      </c>
      <c r="C45" s="84" t="s">
        <v>141</v>
      </c>
      <c r="D45" s="6">
        <v>396.8</v>
      </c>
      <c r="E45" s="6">
        <v>108.4</v>
      </c>
      <c r="F45" s="5">
        <v>116.31621</v>
      </c>
      <c r="G45" s="5">
        <f t="shared" si="6"/>
        <v>116.31621</v>
      </c>
      <c r="H45" s="5">
        <f t="shared" si="4"/>
        <v>-280.48379</v>
      </c>
      <c r="I45" s="6">
        <f t="shared" si="5"/>
        <v>29.313560987903227</v>
      </c>
      <c r="J45" s="2"/>
      <c r="L45" s="37"/>
    </row>
    <row r="46" spans="1:12" ht="67.5" customHeight="1" hidden="1">
      <c r="A46" s="17" t="s">
        <v>301</v>
      </c>
      <c r="B46" s="64" t="s">
        <v>429</v>
      </c>
      <c r="C46" s="81" t="s">
        <v>11</v>
      </c>
      <c r="D46" s="6">
        <v>0</v>
      </c>
      <c r="E46" s="6">
        <v>0.2</v>
      </c>
      <c r="F46" s="5">
        <v>0</v>
      </c>
      <c r="G46" s="5">
        <f t="shared" si="6"/>
        <v>0</v>
      </c>
      <c r="H46" s="5">
        <f t="shared" si="4"/>
        <v>0</v>
      </c>
      <c r="I46" s="6" t="e">
        <f t="shared" si="5"/>
        <v>#DIV/0!</v>
      </c>
      <c r="J46" s="2"/>
      <c r="L46" s="37"/>
    </row>
    <row r="47" spans="1:12" ht="0.75" customHeight="1" hidden="1">
      <c r="A47" s="17" t="s">
        <v>301</v>
      </c>
      <c r="B47" s="64" t="s">
        <v>387</v>
      </c>
      <c r="C47" s="63" t="s">
        <v>6</v>
      </c>
      <c r="D47" s="6"/>
      <c r="E47" s="6">
        <v>5</v>
      </c>
      <c r="F47" s="5"/>
      <c r="G47" s="5">
        <f t="shared" si="6"/>
        <v>0</v>
      </c>
      <c r="H47" s="5">
        <f t="shared" si="4"/>
        <v>0</v>
      </c>
      <c r="I47" s="6" t="e">
        <f t="shared" si="5"/>
        <v>#DIV/0!</v>
      </c>
      <c r="J47" s="2"/>
      <c r="L47" s="37"/>
    </row>
    <row r="48" spans="1:12" ht="77.25" customHeight="1">
      <c r="A48" s="17" t="s">
        <v>326</v>
      </c>
      <c r="B48" s="64" t="s">
        <v>368</v>
      </c>
      <c r="C48" s="83" t="s">
        <v>142</v>
      </c>
      <c r="D48" s="6">
        <v>1000</v>
      </c>
      <c r="E48" s="6">
        <v>286.4</v>
      </c>
      <c r="F48" s="5">
        <v>288.82986</v>
      </c>
      <c r="G48" s="5">
        <f t="shared" si="6"/>
        <v>288.82986</v>
      </c>
      <c r="H48" s="5">
        <f t="shared" si="4"/>
        <v>-711.17014</v>
      </c>
      <c r="I48" s="6">
        <f t="shared" si="5"/>
        <v>28.882986</v>
      </c>
      <c r="J48" s="2"/>
      <c r="L48" s="37"/>
    </row>
    <row r="49" spans="1:12" ht="73.5" customHeight="1">
      <c r="A49" s="17" t="s">
        <v>326</v>
      </c>
      <c r="B49" s="64" t="s">
        <v>433</v>
      </c>
      <c r="C49" s="82" t="s">
        <v>143</v>
      </c>
      <c r="D49" s="6">
        <v>0.5</v>
      </c>
      <c r="E49" s="6">
        <v>0.3</v>
      </c>
      <c r="F49" s="5">
        <v>0</v>
      </c>
      <c r="G49" s="5">
        <f t="shared" si="6"/>
        <v>0</v>
      </c>
      <c r="H49" s="5">
        <f t="shared" si="4"/>
        <v>-0.5</v>
      </c>
      <c r="I49" s="6">
        <f t="shared" si="5"/>
        <v>0</v>
      </c>
      <c r="J49" s="2"/>
      <c r="L49" s="37"/>
    </row>
    <row r="50" spans="1:12" ht="60" customHeight="1">
      <c r="A50" s="17" t="s">
        <v>326</v>
      </c>
      <c r="B50" s="64" t="s">
        <v>369</v>
      </c>
      <c r="C50" s="82" t="s">
        <v>144</v>
      </c>
      <c r="D50" s="6">
        <v>30</v>
      </c>
      <c r="E50" s="6">
        <v>56.5</v>
      </c>
      <c r="F50" s="5">
        <v>7.81988</v>
      </c>
      <c r="G50" s="5">
        <f t="shared" si="6"/>
        <v>7.81988</v>
      </c>
      <c r="H50" s="5">
        <f t="shared" si="4"/>
        <v>-22.18012</v>
      </c>
      <c r="I50" s="6">
        <f t="shared" si="5"/>
        <v>26.066266666666664</v>
      </c>
      <c r="J50" s="2"/>
      <c r="L50" s="37"/>
    </row>
    <row r="51" spans="1:12" ht="48.75" customHeight="1">
      <c r="A51" s="17" t="s">
        <v>326</v>
      </c>
      <c r="B51" s="64" t="s">
        <v>439</v>
      </c>
      <c r="C51" s="82" t="s">
        <v>145</v>
      </c>
      <c r="D51" s="6">
        <v>165.3</v>
      </c>
      <c r="E51" s="6">
        <v>50.6</v>
      </c>
      <c r="F51" s="5">
        <v>72.44155</v>
      </c>
      <c r="G51" s="5">
        <f t="shared" si="6"/>
        <v>72.44155</v>
      </c>
      <c r="H51" s="5">
        <f t="shared" si="4"/>
        <v>-92.85845</v>
      </c>
      <c r="I51" s="6">
        <f t="shared" si="5"/>
        <v>43.82428917120387</v>
      </c>
      <c r="J51" s="2"/>
      <c r="L51" s="37"/>
    </row>
    <row r="52" spans="1:12" ht="31.5">
      <c r="A52" s="17" t="s">
        <v>326</v>
      </c>
      <c r="B52" s="64" t="s">
        <v>459</v>
      </c>
      <c r="C52" s="82" t="s">
        <v>146</v>
      </c>
      <c r="D52" s="6">
        <v>215</v>
      </c>
      <c r="E52" s="6">
        <v>34.9</v>
      </c>
      <c r="F52" s="5">
        <v>70.65772</v>
      </c>
      <c r="G52" s="5">
        <f t="shared" si="6"/>
        <v>70.65772</v>
      </c>
      <c r="H52" s="5">
        <f t="shared" si="4"/>
        <v>-144.34228000000002</v>
      </c>
      <c r="I52" s="6">
        <f t="shared" si="5"/>
        <v>32.864055813953485</v>
      </c>
      <c r="J52" s="2"/>
      <c r="K52" s="2"/>
      <c r="L52" s="2"/>
    </row>
    <row r="53" spans="1:12" ht="18.75" customHeight="1">
      <c r="A53" s="17" t="s">
        <v>326</v>
      </c>
      <c r="B53" s="64" t="s">
        <v>14</v>
      </c>
      <c r="C53" s="83" t="s">
        <v>147</v>
      </c>
      <c r="D53" s="6">
        <v>220</v>
      </c>
      <c r="E53" s="6"/>
      <c r="F53" s="5">
        <v>61.65973</v>
      </c>
      <c r="G53" s="5"/>
      <c r="H53" s="5">
        <f t="shared" si="4"/>
        <v>-158.34027</v>
      </c>
      <c r="I53" s="6">
        <f t="shared" si="5"/>
        <v>28.02715</v>
      </c>
      <c r="J53" s="2"/>
      <c r="K53" s="2"/>
      <c r="L53" s="2"/>
    </row>
    <row r="54" spans="1:12" ht="31.5">
      <c r="A54" s="17"/>
      <c r="B54" s="79" t="s">
        <v>441</v>
      </c>
      <c r="C54" s="63" t="s">
        <v>103</v>
      </c>
      <c r="D54" s="6">
        <f>SUM(D55:D61)</f>
        <v>24866.9</v>
      </c>
      <c r="E54" s="6">
        <f>SUM(E55:E61)</f>
        <v>1842.6999999999998</v>
      </c>
      <c r="F54" s="6">
        <f>SUM(F55:F61)</f>
        <v>9583.817869999999</v>
      </c>
      <c r="G54" s="6">
        <f>SUM(G55:G59)</f>
        <v>9359.37104</v>
      </c>
      <c r="H54" s="5">
        <f t="shared" si="4"/>
        <v>-15283.082130000003</v>
      </c>
      <c r="I54" s="6">
        <f t="shared" si="5"/>
        <v>38.54046089379858</v>
      </c>
      <c r="J54" s="2"/>
      <c r="L54" s="38"/>
    </row>
    <row r="55" spans="1:12" ht="19.5" customHeight="1">
      <c r="A55" s="17" t="s">
        <v>304</v>
      </c>
      <c r="B55" s="64" t="s">
        <v>351</v>
      </c>
      <c r="C55" s="55" t="s">
        <v>148</v>
      </c>
      <c r="D55" s="6">
        <v>300</v>
      </c>
      <c r="E55" s="6">
        <v>73.9</v>
      </c>
      <c r="F55" s="5">
        <v>112.63631</v>
      </c>
      <c r="G55" s="5">
        <f aca="true" t="shared" si="7" ref="G55:G60">F55-L54</f>
        <v>112.63631</v>
      </c>
      <c r="H55" s="5">
        <f t="shared" si="4"/>
        <v>-187.36369000000002</v>
      </c>
      <c r="I55" s="6">
        <f t="shared" si="5"/>
        <v>37.54543666666667</v>
      </c>
      <c r="J55" s="2"/>
      <c r="L55" s="37"/>
    </row>
    <row r="56" spans="1:12" ht="19.5" customHeight="1">
      <c r="A56" s="17" t="s">
        <v>304</v>
      </c>
      <c r="B56" s="64" t="s">
        <v>352</v>
      </c>
      <c r="C56" s="55" t="s">
        <v>149</v>
      </c>
      <c r="D56" s="6">
        <v>4320</v>
      </c>
      <c r="E56" s="6">
        <v>616.3</v>
      </c>
      <c r="F56" s="5">
        <v>1679.66876</v>
      </c>
      <c r="G56" s="5">
        <f t="shared" si="7"/>
        <v>1679.66876</v>
      </c>
      <c r="H56" s="5">
        <f t="shared" si="4"/>
        <v>-2640.33124</v>
      </c>
      <c r="I56" s="6">
        <f t="shared" si="5"/>
        <v>38.881221296296296</v>
      </c>
      <c r="J56" s="2"/>
      <c r="L56" s="37"/>
    </row>
    <row r="57" spans="1:12" ht="18.75" customHeight="1">
      <c r="A57" s="17" t="s">
        <v>304</v>
      </c>
      <c r="B57" s="64" t="s">
        <v>353</v>
      </c>
      <c r="C57" s="55" t="s">
        <v>150</v>
      </c>
      <c r="D57" s="6">
        <v>15485.2</v>
      </c>
      <c r="E57" s="6">
        <v>640.5</v>
      </c>
      <c r="F57" s="5">
        <v>5844.37904</v>
      </c>
      <c r="G57" s="5">
        <f t="shared" si="7"/>
        <v>5844.37904</v>
      </c>
      <c r="H57" s="5">
        <f t="shared" si="4"/>
        <v>-9640.820960000001</v>
      </c>
      <c r="I57" s="6">
        <f t="shared" si="5"/>
        <v>37.74170847002299</v>
      </c>
      <c r="J57" s="2"/>
      <c r="L57" s="37"/>
    </row>
    <row r="58" spans="1:12" ht="31.5">
      <c r="A58" s="17" t="s">
        <v>304</v>
      </c>
      <c r="B58" s="64" t="s">
        <v>354</v>
      </c>
      <c r="C58" s="55" t="s">
        <v>151</v>
      </c>
      <c r="D58" s="6">
        <v>1800</v>
      </c>
      <c r="E58" s="6">
        <v>137.2</v>
      </c>
      <c r="F58" s="5">
        <v>713.46253</v>
      </c>
      <c r="G58" s="5">
        <f t="shared" si="7"/>
        <v>713.46253</v>
      </c>
      <c r="H58" s="5">
        <f t="shared" si="4"/>
        <v>-1086.53747</v>
      </c>
      <c r="I58" s="6">
        <f t="shared" si="5"/>
        <v>39.636807222222224</v>
      </c>
      <c r="J58" s="2"/>
      <c r="L58" s="37"/>
    </row>
    <row r="59" spans="1:12" ht="18.75" customHeight="1">
      <c r="A59" s="17" t="s">
        <v>304</v>
      </c>
      <c r="B59" s="64" t="s">
        <v>355</v>
      </c>
      <c r="C59" s="55" t="s">
        <v>152</v>
      </c>
      <c r="D59" s="6">
        <v>2400</v>
      </c>
      <c r="E59" s="6">
        <v>336.9</v>
      </c>
      <c r="F59" s="5">
        <v>1009.2244</v>
      </c>
      <c r="G59" s="5">
        <f t="shared" si="7"/>
        <v>1009.2244</v>
      </c>
      <c r="H59" s="5">
        <f t="shared" si="4"/>
        <v>-1390.7756</v>
      </c>
      <c r="I59" s="6">
        <f t="shared" si="5"/>
        <v>42.05101666666666</v>
      </c>
      <c r="J59" s="2"/>
      <c r="L59" s="37"/>
    </row>
    <row r="60" spans="1:12" ht="20.25" customHeight="1">
      <c r="A60" s="17" t="s">
        <v>304</v>
      </c>
      <c r="B60" s="64" t="s">
        <v>436</v>
      </c>
      <c r="C60" s="55" t="s">
        <v>153</v>
      </c>
      <c r="D60" s="6">
        <v>530.9</v>
      </c>
      <c r="E60" s="6">
        <v>37.9</v>
      </c>
      <c r="F60" s="5">
        <v>206.70098</v>
      </c>
      <c r="G60" s="5">
        <f t="shared" si="7"/>
        <v>206.70098</v>
      </c>
      <c r="H60" s="5">
        <f t="shared" si="4"/>
        <v>-324.19902</v>
      </c>
      <c r="I60" s="6">
        <f t="shared" si="5"/>
        <v>38.93407044641175</v>
      </c>
      <c r="J60" s="2"/>
      <c r="L60" s="37"/>
    </row>
    <row r="61" spans="1:12" ht="17.25" customHeight="1">
      <c r="A61" s="17" t="s">
        <v>304</v>
      </c>
      <c r="B61" s="64" t="s">
        <v>13</v>
      </c>
      <c r="C61" s="55" t="s">
        <v>154</v>
      </c>
      <c r="D61" s="6">
        <v>30.8</v>
      </c>
      <c r="E61" s="6"/>
      <c r="F61" s="5">
        <v>17.74585</v>
      </c>
      <c r="G61" s="5"/>
      <c r="H61" s="5">
        <f t="shared" si="4"/>
        <v>-13.05415</v>
      </c>
      <c r="I61" s="6">
        <f t="shared" si="5"/>
        <v>57.61639610389611</v>
      </c>
      <c r="J61" s="2"/>
      <c r="L61" s="37"/>
    </row>
    <row r="62" spans="1:12" ht="18" customHeight="1">
      <c r="A62" s="17"/>
      <c r="B62" s="64" t="s">
        <v>461</v>
      </c>
      <c r="C62" s="63" t="s">
        <v>104</v>
      </c>
      <c r="D62" s="6">
        <f>D63+D64+D66+D85+D88+D91+D68+D89+D90+D67+D83+D65+D84+D86+D87</f>
        <v>2595.71542</v>
      </c>
      <c r="E62" s="6">
        <f>E63+E64+E66+E85+E88+E91+E68+E89+E90+E67+E83+E65+E84+E86+E87</f>
        <v>949.1999999999999</v>
      </c>
      <c r="F62" s="6">
        <f>F63+F64+F66+F85+F88+F91+F68+F89+F90+F67+F83+F65+F84+F86+F87</f>
        <v>1091.61035</v>
      </c>
      <c r="G62" s="6">
        <f>G63+G64+G66+G85+G88+G91+G68+G89+G90+G67+G83</f>
        <v>1001.89567</v>
      </c>
      <c r="H62" s="5">
        <f t="shared" si="4"/>
        <v>-1504.10507</v>
      </c>
      <c r="I62" s="6">
        <f t="shared" si="5"/>
        <v>42.05431541490014</v>
      </c>
      <c r="J62" s="2"/>
      <c r="L62" s="37"/>
    </row>
    <row r="63" spans="1:12" ht="30.75" customHeight="1">
      <c r="A63" s="17" t="s">
        <v>304</v>
      </c>
      <c r="B63" s="64" t="s">
        <v>305</v>
      </c>
      <c r="C63" s="55" t="s">
        <v>155</v>
      </c>
      <c r="D63" s="6">
        <v>768.7</v>
      </c>
      <c r="E63" s="6">
        <v>256.9</v>
      </c>
      <c r="F63" s="5">
        <v>478.87321</v>
      </c>
      <c r="G63" s="5">
        <f>F63-L62</f>
        <v>478.87321</v>
      </c>
      <c r="H63" s="5">
        <f t="shared" si="4"/>
        <v>-289.8267900000001</v>
      </c>
      <c r="I63" s="6">
        <f t="shared" si="5"/>
        <v>62.296501886301535</v>
      </c>
      <c r="J63" s="2"/>
      <c r="L63" s="37"/>
    </row>
    <row r="64" spans="1:12" ht="48" customHeight="1">
      <c r="A64" s="17" t="s">
        <v>303</v>
      </c>
      <c r="B64" s="64" t="s">
        <v>336</v>
      </c>
      <c r="C64" s="55" t="s">
        <v>156</v>
      </c>
      <c r="D64" s="6">
        <v>520</v>
      </c>
      <c r="E64" s="6">
        <v>28.4</v>
      </c>
      <c r="F64" s="5">
        <v>172.91035</v>
      </c>
      <c r="G64" s="5">
        <f>F64-L63</f>
        <v>172.91035</v>
      </c>
      <c r="H64" s="5">
        <f t="shared" si="4"/>
        <v>-347.08965</v>
      </c>
      <c r="I64" s="6">
        <f t="shared" si="5"/>
        <v>33.25199038461538</v>
      </c>
      <c r="J64" s="2"/>
      <c r="L64" s="2"/>
    </row>
    <row r="65" spans="1:12" ht="47.25">
      <c r="A65" s="17"/>
      <c r="B65" s="64" t="s">
        <v>41</v>
      </c>
      <c r="C65" s="55" t="s">
        <v>157</v>
      </c>
      <c r="D65" s="6">
        <v>0.6</v>
      </c>
      <c r="E65" s="6"/>
      <c r="F65" s="6">
        <v>0</v>
      </c>
      <c r="G65" s="5"/>
      <c r="H65" s="5">
        <f t="shared" si="4"/>
        <v>-0.6</v>
      </c>
      <c r="I65" s="6">
        <f t="shared" si="5"/>
        <v>0</v>
      </c>
      <c r="J65" s="2"/>
      <c r="L65" s="2"/>
    </row>
    <row r="66" spans="1:12" ht="34.5" customHeight="1">
      <c r="A66" s="17" t="s">
        <v>308</v>
      </c>
      <c r="B66" s="64" t="s">
        <v>309</v>
      </c>
      <c r="C66" s="74" t="s">
        <v>158</v>
      </c>
      <c r="D66" s="6">
        <v>969.13942</v>
      </c>
      <c r="E66" s="6">
        <v>605.1</v>
      </c>
      <c r="F66" s="6">
        <v>269.17177</v>
      </c>
      <c r="G66" s="5">
        <f>F66-L65</f>
        <v>269.17177</v>
      </c>
      <c r="H66" s="5">
        <f t="shared" si="4"/>
        <v>-699.96765</v>
      </c>
      <c r="I66" s="6">
        <f t="shared" si="5"/>
        <v>27.77430826206615</v>
      </c>
      <c r="J66" s="2"/>
      <c r="L66" s="39"/>
    </row>
    <row r="67" spans="1:12" ht="31.5">
      <c r="A67" s="17" t="s">
        <v>308</v>
      </c>
      <c r="B67" s="64" t="s">
        <v>309</v>
      </c>
      <c r="C67" s="74" t="s">
        <v>159</v>
      </c>
      <c r="D67" s="6">
        <v>37.486</v>
      </c>
      <c r="E67" s="6"/>
      <c r="F67" s="6">
        <v>35.2854</v>
      </c>
      <c r="G67" s="5"/>
      <c r="H67" s="5">
        <f t="shared" si="4"/>
        <v>-2.2005999999999943</v>
      </c>
      <c r="I67" s="6">
        <f t="shared" si="5"/>
        <v>94.12954169556636</v>
      </c>
      <c r="J67" s="2"/>
      <c r="L67" s="39"/>
    </row>
    <row r="68" spans="1:12" ht="33" customHeight="1">
      <c r="A68" s="17" t="s">
        <v>308</v>
      </c>
      <c r="B68" s="64" t="s">
        <v>309</v>
      </c>
      <c r="C68" s="74" t="s">
        <v>160</v>
      </c>
      <c r="D68" s="6">
        <v>90</v>
      </c>
      <c r="E68" s="6">
        <v>13</v>
      </c>
      <c r="F68" s="5">
        <v>29.9913</v>
      </c>
      <c r="G68" s="5">
        <f>F68-L66</f>
        <v>29.9913</v>
      </c>
      <c r="H68" s="5">
        <f t="shared" si="4"/>
        <v>-60.008700000000005</v>
      </c>
      <c r="I68" s="6">
        <f t="shared" si="5"/>
        <v>33.32366666666667</v>
      </c>
      <c r="J68" s="2"/>
      <c r="L68" s="39"/>
    </row>
    <row r="69" spans="1:12" ht="30" customHeight="1" hidden="1">
      <c r="A69" s="17" t="s">
        <v>308</v>
      </c>
      <c r="B69" s="64" t="s">
        <v>309</v>
      </c>
      <c r="C69" s="74" t="s">
        <v>77</v>
      </c>
      <c r="D69" s="6"/>
      <c r="E69" s="6">
        <v>13</v>
      </c>
      <c r="F69" s="5"/>
      <c r="G69" s="5">
        <f aca="true" t="shared" si="8" ref="G69:G82">F69-L68</f>
        <v>0</v>
      </c>
      <c r="H69" s="5">
        <f t="shared" si="4"/>
        <v>0</v>
      </c>
      <c r="I69" s="6" t="e">
        <f t="shared" si="5"/>
        <v>#DIV/0!</v>
      </c>
      <c r="J69" s="2"/>
      <c r="L69" s="39"/>
    </row>
    <row r="70" spans="1:12" ht="30.75" customHeight="1" hidden="1">
      <c r="A70" s="17" t="s">
        <v>308</v>
      </c>
      <c r="B70" s="64" t="s">
        <v>309</v>
      </c>
      <c r="C70" s="74" t="s">
        <v>410</v>
      </c>
      <c r="D70" s="6"/>
      <c r="E70" s="6">
        <v>5</v>
      </c>
      <c r="F70" s="5"/>
      <c r="G70" s="5">
        <f t="shared" si="8"/>
        <v>0</v>
      </c>
      <c r="H70" s="5">
        <f aca="true" t="shared" si="9" ref="H70:H93">F70-D70</f>
        <v>0</v>
      </c>
      <c r="I70" s="6" t="e">
        <f aca="true" t="shared" si="10" ref="I70:I103">F70/D70*100</f>
        <v>#DIV/0!</v>
      </c>
      <c r="J70" s="2"/>
      <c r="L70" s="39"/>
    </row>
    <row r="71" spans="1:12" ht="31.5" customHeight="1" hidden="1">
      <c r="A71" s="17" t="s">
        <v>308</v>
      </c>
      <c r="B71" s="64" t="s">
        <v>309</v>
      </c>
      <c r="C71" s="74" t="s">
        <v>386</v>
      </c>
      <c r="D71" s="6"/>
      <c r="E71" s="6">
        <v>3</v>
      </c>
      <c r="F71" s="5"/>
      <c r="G71" s="5">
        <f t="shared" si="8"/>
        <v>0</v>
      </c>
      <c r="H71" s="5">
        <f t="shared" si="9"/>
        <v>0</v>
      </c>
      <c r="I71" s="6" t="e">
        <f t="shared" si="10"/>
        <v>#DIV/0!</v>
      </c>
      <c r="J71" s="2"/>
      <c r="L71" s="39"/>
    </row>
    <row r="72" spans="1:12" ht="33" customHeight="1" hidden="1">
      <c r="A72" s="17" t="s">
        <v>308</v>
      </c>
      <c r="B72" s="64" t="s">
        <v>309</v>
      </c>
      <c r="C72" s="74" t="s">
        <v>381</v>
      </c>
      <c r="D72" s="6"/>
      <c r="E72" s="6">
        <v>5</v>
      </c>
      <c r="F72" s="5"/>
      <c r="G72" s="5">
        <f t="shared" si="8"/>
        <v>0</v>
      </c>
      <c r="H72" s="5">
        <f t="shared" si="9"/>
        <v>0</v>
      </c>
      <c r="I72" s="6" t="e">
        <f t="shared" si="10"/>
        <v>#DIV/0!</v>
      </c>
      <c r="J72" s="2"/>
      <c r="L72" s="39"/>
    </row>
    <row r="73" spans="1:12" ht="29.25" customHeight="1" hidden="1">
      <c r="A73" s="17" t="s">
        <v>308</v>
      </c>
      <c r="B73" s="64" t="s">
        <v>309</v>
      </c>
      <c r="C73" s="74" t="s">
        <v>403</v>
      </c>
      <c r="D73" s="6"/>
      <c r="E73" s="6">
        <v>5</v>
      </c>
      <c r="F73" s="5"/>
      <c r="G73" s="5">
        <f t="shared" si="8"/>
        <v>0</v>
      </c>
      <c r="H73" s="5">
        <f t="shared" si="9"/>
        <v>0</v>
      </c>
      <c r="I73" s="6" t="e">
        <f t="shared" si="10"/>
        <v>#DIV/0!</v>
      </c>
      <c r="J73" s="2"/>
      <c r="L73" s="39"/>
    </row>
    <row r="74" spans="1:12" ht="31.5" customHeight="1" hidden="1">
      <c r="A74" s="17" t="s">
        <v>308</v>
      </c>
      <c r="B74" s="64" t="s">
        <v>309</v>
      </c>
      <c r="C74" s="74" t="s">
        <v>379</v>
      </c>
      <c r="D74" s="6"/>
      <c r="E74" s="6">
        <v>45</v>
      </c>
      <c r="F74" s="5"/>
      <c r="G74" s="5">
        <f t="shared" si="8"/>
        <v>0</v>
      </c>
      <c r="H74" s="5">
        <f t="shared" si="9"/>
        <v>0</v>
      </c>
      <c r="I74" s="6" t="e">
        <f t="shared" si="10"/>
        <v>#DIV/0!</v>
      </c>
      <c r="J74" s="2"/>
      <c r="L74" s="39"/>
    </row>
    <row r="75" spans="1:12" ht="30" customHeight="1" hidden="1">
      <c r="A75" s="17" t="s">
        <v>308</v>
      </c>
      <c r="B75" s="64" t="s">
        <v>309</v>
      </c>
      <c r="C75" s="74" t="s">
        <v>390</v>
      </c>
      <c r="D75" s="6"/>
      <c r="E75" s="6">
        <v>36</v>
      </c>
      <c r="F75" s="5"/>
      <c r="G75" s="5">
        <f t="shared" si="8"/>
        <v>0</v>
      </c>
      <c r="H75" s="5">
        <f t="shared" si="9"/>
        <v>0</v>
      </c>
      <c r="I75" s="6" t="e">
        <f t="shared" si="10"/>
        <v>#DIV/0!</v>
      </c>
      <c r="J75" s="2"/>
      <c r="L75" s="39"/>
    </row>
    <row r="76" spans="1:12" ht="33.75" customHeight="1" hidden="1">
      <c r="A76" s="17" t="s">
        <v>308</v>
      </c>
      <c r="B76" s="64" t="s">
        <v>309</v>
      </c>
      <c r="C76" s="74" t="s">
        <v>380</v>
      </c>
      <c r="D76" s="6"/>
      <c r="E76" s="6">
        <v>4.5</v>
      </c>
      <c r="F76" s="5"/>
      <c r="G76" s="5">
        <f t="shared" si="8"/>
        <v>0</v>
      </c>
      <c r="H76" s="5">
        <f t="shared" si="9"/>
        <v>0</v>
      </c>
      <c r="I76" s="6" t="e">
        <f t="shared" si="10"/>
        <v>#DIV/0!</v>
      </c>
      <c r="J76" s="2"/>
      <c r="L76" s="39"/>
    </row>
    <row r="77" spans="1:12" ht="33" customHeight="1" hidden="1">
      <c r="A77" s="17" t="s">
        <v>308</v>
      </c>
      <c r="B77" s="64" t="s">
        <v>309</v>
      </c>
      <c r="C77" s="63" t="s">
        <v>411</v>
      </c>
      <c r="D77" s="6"/>
      <c r="E77" s="6">
        <v>6</v>
      </c>
      <c r="F77" s="5"/>
      <c r="G77" s="5">
        <f t="shared" si="8"/>
        <v>0</v>
      </c>
      <c r="H77" s="5">
        <f t="shared" si="9"/>
        <v>0</v>
      </c>
      <c r="I77" s="6" t="e">
        <f t="shared" si="10"/>
        <v>#DIV/0!</v>
      </c>
      <c r="J77" s="2"/>
      <c r="L77" s="39"/>
    </row>
    <row r="78" spans="1:12" ht="33.75" customHeight="1" hidden="1">
      <c r="A78" s="17" t="s">
        <v>308</v>
      </c>
      <c r="B78" s="64" t="s">
        <v>309</v>
      </c>
      <c r="C78" s="74" t="s">
        <v>378</v>
      </c>
      <c r="D78" s="6"/>
      <c r="E78" s="6">
        <v>15</v>
      </c>
      <c r="F78" s="5"/>
      <c r="G78" s="5">
        <f t="shared" si="8"/>
        <v>0</v>
      </c>
      <c r="H78" s="5">
        <f t="shared" si="9"/>
        <v>0</v>
      </c>
      <c r="I78" s="6" t="e">
        <f t="shared" si="10"/>
        <v>#DIV/0!</v>
      </c>
      <c r="J78" s="2"/>
      <c r="L78" s="39"/>
    </row>
    <row r="79" spans="1:12" ht="36.75" customHeight="1" hidden="1">
      <c r="A79" s="17" t="s">
        <v>308</v>
      </c>
      <c r="B79" s="64" t="s">
        <v>309</v>
      </c>
      <c r="C79" s="74" t="s">
        <v>408</v>
      </c>
      <c r="D79" s="6"/>
      <c r="E79" s="6">
        <v>70</v>
      </c>
      <c r="F79" s="5"/>
      <c r="G79" s="5">
        <f t="shared" si="8"/>
        <v>0</v>
      </c>
      <c r="H79" s="5">
        <f t="shared" si="9"/>
        <v>0</v>
      </c>
      <c r="I79" s="6" t="e">
        <f t="shared" si="10"/>
        <v>#DIV/0!</v>
      </c>
      <c r="J79" s="2"/>
      <c r="L79" s="39"/>
    </row>
    <row r="80" spans="1:12" ht="39" customHeight="1" hidden="1">
      <c r="A80" s="17" t="s">
        <v>308</v>
      </c>
      <c r="B80" s="64" t="s">
        <v>309</v>
      </c>
      <c r="C80" s="74" t="s">
        <v>407</v>
      </c>
      <c r="D80" s="6"/>
      <c r="E80" s="6">
        <v>40</v>
      </c>
      <c r="F80" s="5"/>
      <c r="G80" s="5">
        <f t="shared" si="8"/>
        <v>0</v>
      </c>
      <c r="H80" s="5">
        <f t="shared" si="9"/>
        <v>0</v>
      </c>
      <c r="I80" s="6" t="e">
        <f t="shared" si="10"/>
        <v>#DIV/0!</v>
      </c>
      <c r="J80" s="2"/>
      <c r="L80" s="39"/>
    </row>
    <row r="81" spans="1:12" ht="42.75" customHeight="1" hidden="1">
      <c r="A81" s="17" t="s">
        <v>308</v>
      </c>
      <c r="B81" s="64" t="s">
        <v>309</v>
      </c>
      <c r="C81" s="74" t="s">
        <v>385</v>
      </c>
      <c r="D81" s="6"/>
      <c r="E81" s="6">
        <v>6</v>
      </c>
      <c r="F81" s="5"/>
      <c r="G81" s="5">
        <f t="shared" si="8"/>
        <v>0</v>
      </c>
      <c r="H81" s="5">
        <f t="shared" si="9"/>
        <v>0</v>
      </c>
      <c r="I81" s="6" t="e">
        <f t="shared" si="10"/>
        <v>#DIV/0!</v>
      </c>
      <c r="J81" s="2"/>
      <c r="L81" s="39"/>
    </row>
    <row r="82" spans="1:12" ht="44.25" customHeight="1" hidden="1">
      <c r="A82" s="17" t="s">
        <v>308</v>
      </c>
      <c r="B82" s="64" t="s">
        <v>309</v>
      </c>
      <c r="C82" s="63" t="s">
        <v>409</v>
      </c>
      <c r="D82" s="6"/>
      <c r="E82" s="6">
        <v>20</v>
      </c>
      <c r="F82" s="5"/>
      <c r="G82" s="5">
        <f t="shared" si="8"/>
        <v>0</v>
      </c>
      <c r="H82" s="5">
        <f t="shared" si="9"/>
        <v>0</v>
      </c>
      <c r="I82" s="6" t="e">
        <f t="shared" si="10"/>
        <v>#DIV/0!</v>
      </c>
      <c r="J82" s="2"/>
      <c r="L82" s="37"/>
    </row>
    <row r="83" spans="1:12" ht="47.25">
      <c r="A83" s="17"/>
      <c r="B83" s="64" t="s">
        <v>18</v>
      </c>
      <c r="C83" s="63" t="s">
        <v>61</v>
      </c>
      <c r="D83" s="6">
        <v>20</v>
      </c>
      <c r="E83" s="6"/>
      <c r="F83" s="5">
        <v>4.1499</v>
      </c>
      <c r="G83" s="5"/>
      <c r="H83" s="5">
        <f t="shared" si="9"/>
        <v>-15.850100000000001</v>
      </c>
      <c r="I83" s="6">
        <f t="shared" si="10"/>
        <v>20.749499999999998</v>
      </c>
      <c r="J83" s="2"/>
      <c r="L83" s="37"/>
    </row>
    <row r="84" spans="1:12" ht="46.5" customHeight="1">
      <c r="A84" s="17"/>
      <c r="B84" s="64" t="s">
        <v>18</v>
      </c>
      <c r="C84" s="63" t="s">
        <v>162</v>
      </c>
      <c r="D84" s="6">
        <v>10</v>
      </c>
      <c r="E84" s="6"/>
      <c r="F84" s="5">
        <v>2</v>
      </c>
      <c r="G84" s="5"/>
      <c r="H84" s="5">
        <f t="shared" si="9"/>
        <v>-8</v>
      </c>
      <c r="I84" s="6">
        <f t="shared" si="10"/>
        <v>20</v>
      </c>
      <c r="J84" s="2"/>
      <c r="L84" s="37"/>
    </row>
    <row r="85" spans="1:12" ht="31.5" hidden="1">
      <c r="A85" s="17" t="s">
        <v>306</v>
      </c>
      <c r="B85" s="64" t="s">
        <v>307</v>
      </c>
      <c r="C85" s="74" t="s">
        <v>468</v>
      </c>
      <c r="D85" s="6">
        <v>0</v>
      </c>
      <c r="E85" s="6">
        <v>2.4</v>
      </c>
      <c r="F85" s="5">
        <v>0</v>
      </c>
      <c r="G85" s="5">
        <f>F85-L82</f>
        <v>0</v>
      </c>
      <c r="H85" s="5">
        <f t="shared" si="9"/>
        <v>0</v>
      </c>
      <c r="I85" s="6" t="e">
        <f t="shared" si="10"/>
        <v>#DIV/0!</v>
      </c>
      <c r="J85" s="2"/>
      <c r="L85" s="37"/>
    </row>
    <row r="86" spans="1:12" ht="47.25" hidden="1">
      <c r="A86" s="17"/>
      <c r="B86" s="64" t="s">
        <v>18</v>
      </c>
      <c r="C86" s="74" t="s">
        <v>163</v>
      </c>
      <c r="D86" s="6">
        <v>0</v>
      </c>
      <c r="E86" s="6"/>
      <c r="F86" s="5">
        <v>0</v>
      </c>
      <c r="G86" s="5"/>
      <c r="H86" s="5">
        <f t="shared" si="9"/>
        <v>0</v>
      </c>
      <c r="I86" s="6" t="e">
        <f t="shared" si="10"/>
        <v>#DIV/0!</v>
      </c>
      <c r="J86" s="2"/>
      <c r="L86" s="37"/>
    </row>
    <row r="87" spans="1:12" ht="31.5">
      <c r="A87" s="17"/>
      <c r="B87" s="64" t="s">
        <v>85</v>
      </c>
      <c r="C87" s="74" t="s">
        <v>164</v>
      </c>
      <c r="D87" s="6">
        <v>49.6</v>
      </c>
      <c r="E87" s="6"/>
      <c r="F87" s="5">
        <v>31.83938</v>
      </c>
      <c r="G87" s="5"/>
      <c r="H87" s="5">
        <f t="shared" si="9"/>
        <v>-17.760620000000003</v>
      </c>
      <c r="I87" s="6">
        <f t="shared" si="10"/>
        <v>64.19229838709677</v>
      </c>
      <c r="J87" s="2"/>
      <c r="L87" s="37"/>
    </row>
    <row r="88" spans="1:12" ht="31.5">
      <c r="A88" s="17" t="s">
        <v>308</v>
      </c>
      <c r="B88" s="64" t="s">
        <v>337</v>
      </c>
      <c r="C88" s="74" t="s">
        <v>26</v>
      </c>
      <c r="D88" s="6">
        <v>86.65</v>
      </c>
      <c r="E88" s="6">
        <v>38.3</v>
      </c>
      <c r="F88" s="5">
        <v>47.2782</v>
      </c>
      <c r="G88" s="5">
        <f>F88-L85</f>
        <v>47.2782</v>
      </c>
      <c r="H88" s="5">
        <f t="shared" si="9"/>
        <v>-39.37180000000001</v>
      </c>
      <c r="I88" s="6">
        <f t="shared" si="10"/>
        <v>54.56226197345643</v>
      </c>
      <c r="J88" s="2"/>
      <c r="L88" s="37"/>
    </row>
    <row r="89" spans="1:12" ht="63" hidden="1">
      <c r="A89" s="17"/>
      <c r="B89" s="64" t="s">
        <v>337</v>
      </c>
      <c r="C89" s="74" t="s">
        <v>8</v>
      </c>
      <c r="D89" s="6">
        <v>0</v>
      </c>
      <c r="E89" s="6"/>
      <c r="F89" s="5">
        <v>0</v>
      </c>
      <c r="G89" s="5"/>
      <c r="H89" s="5">
        <f t="shared" si="9"/>
        <v>0</v>
      </c>
      <c r="I89" s="6" t="e">
        <f t="shared" si="10"/>
        <v>#DIV/0!</v>
      </c>
      <c r="J89" s="2"/>
      <c r="L89" s="37"/>
    </row>
    <row r="90" spans="1:12" ht="31.5">
      <c r="A90" s="17" t="s">
        <v>308</v>
      </c>
      <c r="B90" s="64" t="s">
        <v>337</v>
      </c>
      <c r="C90" s="74" t="s">
        <v>165</v>
      </c>
      <c r="D90" s="6">
        <v>24.24</v>
      </c>
      <c r="E90" s="6"/>
      <c r="F90" s="5">
        <v>16.44</v>
      </c>
      <c r="G90" s="5"/>
      <c r="H90" s="5">
        <f t="shared" si="9"/>
        <v>-7.799999999999997</v>
      </c>
      <c r="I90" s="6">
        <f t="shared" si="10"/>
        <v>67.82178217821783</v>
      </c>
      <c r="J90" s="2"/>
      <c r="L90" s="37"/>
    </row>
    <row r="91" spans="1:12" ht="33.75" customHeight="1">
      <c r="A91" s="17" t="s">
        <v>308</v>
      </c>
      <c r="B91" s="72" t="s">
        <v>412</v>
      </c>
      <c r="C91" s="63" t="s">
        <v>166</v>
      </c>
      <c r="D91" s="6">
        <v>19.3</v>
      </c>
      <c r="E91" s="6">
        <v>5.1</v>
      </c>
      <c r="F91" s="5">
        <v>3.67084</v>
      </c>
      <c r="G91" s="5">
        <f>F91-L88</f>
        <v>3.67084</v>
      </c>
      <c r="H91" s="5">
        <f t="shared" si="9"/>
        <v>-15.62916</v>
      </c>
      <c r="I91" s="6">
        <f t="shared" si="10"/>
        <v>19.019896373056994</v>
      </c>
      <c r="J91" s="2"/>
      <c r="L91" s="37"/>
    </row>
    <row r="92" spans="1:12" ht="67.5" customHeight="1" hidden="1">
      <c r="A92" s="19" t="s">
        <v>304</v>
      </c>
      <c r="B92" s="72" t="s">
        <v>19</v>
      </c>
      <c r="C92" s="55" t="s">
        <v>31</v>
      </c>
      <c r="D92" s="6">
        <v>0</v>
      </c>
      <c r="E92" s="6">
        <v>301.4</v>
      </c>
      <c r="F92" s="5">
        <v>0</v>
      </c>
      <c r="G92" s="5">
        <f>F92-L91</f>
        <v>0</v>
      </c>
      <c r="H92" s="5">
        <f t="shared" si="9"/>
        <v>0</v>
      </c>
      <c r="I92" s="6" t="e">
        <f t="shared" si="10"/>
        <v>#DIV/0!</v>
      </c>
      <c r="J92" s="2"/>
      <c r="L92" s="2"/>
    </row>
    <row r="93" spans="1:12" ht="68.25" customHeight="1" hidden="1">
      <c r="A93" s="19" t="s">
        <v>304</v>
      </c>
      <c r="B93" s="72" t="s">
        <v>19</v>
      </c>
      <c r="C93" s="55" t="s">
        <v>105</v>
      </c>
      <c r="D93" s="6"/>
      <c r="E93" s="6"/>
      <c r="F93" s="5"/>
      <c r="G93" s="5"/>
      <c r="H93" s="5">
        <f t="shared" si="9"/>
        <v>0</v>
      </c>
      <c r="I93" s="6" t="e">
        <f t="shared" si="10"/>
        <v>#DIV/0!</v>
      </c>
      <c r="J93" s="2"/>
      <c r="L93" s="2"/>
    </row>
    <row r="94" spans="1:12" ht="15.75">
      <c r="A94" s="17" t="s">
        <v>304</v>
      </c>
      <c r="B94" s="79" t="s">
        <v>442</v>
      </c>
      <c r="C94" s="74" t="s">
        <v>443</v>
      </c>
      <c r="D94" s="6">
        <f>SUM(D95:D104)</f>
        <v>689.3050000000001</v>
      </c>
      <c r="E94" s="6">
        <f>SUM(E95:E104)</f>
        <v>163.6</v>
      </c>
      <c r="F94" s="6">
        <f>SUM(F95:F104)</f>
        <v>219.36373</v>
      </c>
      <c r="G94" s="6">
        <f>SUM(G95:G104)</f>
        <v>104.28477</v>
      </c>
      <c r="H94" s="6">
        <f>SUM(H95:H104)</f>
        <v>-469.94127000000003</v>
      </c>
      <c r="I94" s="6">
        <f t="shared" si="10"/>
        <v>31.823899434938085</v>
      </c>
      <c r="J94" s="2"/>
      <c r="L94" s="37"/>
    </row>
    <row r="95" spans="1:12" ht="33" customHeight="1">
      <c r="A95" s="17" t="s">
        <v>304</v>
      </c>
      <c r="B95" s="48" t="s">
        <v>365</v>
      </c>
      <c r="C95" s="18" t="s">
        <v>32</v>
      </c>
      <c r="D95" s="1">
        <v>331.091</v>
      </c>
      <c r="E95" s="1">
        <v>124.6</v>
      </c>
      <c r="F95" s="4">
        <v>104.28477</v>
      </c>
      <c r="G95" s="5">
        <f>F95-L94</f>
        <v>104.28477</v>
      </c>
      <c r="H95" s="4">
        <f aca="true" t="shared" si="11" ref="H95:H103">F95-D95</f>
        <v>-226.80623000000003</v>
      </c>
      <c r="I95" s="1">
        <f t="shared" si="10"/>
        <v>31.497313427426292</v>
      </c>
      <c r="J95" s="2"/>
      <c r="L95" s="37"/>
    </row>
    <row r="96" spans="1:12" ht="47.25" hidden="1">
      <c r="A96" s="17" t="s">
        <v>304</v>
      </c>
      <c r="B96" s="48" t="s">
        <v>344</v>
      </c>
      <c r="C96" s="18" t="s">
        <v>12</v>
      </c>
      <c r="D96" s="1">
        <v>0</v>
      </c>
      <c r="E96" s="1">
        <v>22</v>
      </c>
      <c r="F96" s="4">
        <v>0</v>
      </c>
      <c r="G96" s="5">
        <f>F96-L95</f>
        <v>0</v>
      </c>
      <c r="H96" s="4">
        <f t="shared" si="11"/>
        <v>0</v>
      </c>
      <c r="I96" s="1" t="e">
        <f t="shared" si="10"/>
        <v>#DIV/0!</v>
      </c>
      <c r="J96" s="2"/>
      <c r="L96" s="37"/>
    </row>
    <row r="97" spans="1:12" ht="0.75" customHeight="1" hidden="1">
      <c r="A97" s="17" t="s">
        <v>304</v>
      </c>
      <c r="B97" s="48" t="s">
        <v>366</v>
      </c>
      <c r="C97" s="18" t="s">
        <v>12</v>
      </c>
      <c r="D97" s="1">
        <v>0</v>
      </c>
      <c r="E97" s="1">
        <v>17</v>
      </c>
      <c r="F97" s="4">
        <v>0</v>
      </c>
      <c r="G97" s="5">
        <f>F97-L96</f>
        <v>0</v>
      </c>
      <c r="H97" s="4">
        <f t="shared" si="11"/>
        <v>0</v>
      </c>
      <c r="I97" s="1" t="e">
        <f t="shared" si="10"/>
        <v>#DIV/0!</v>
      </c>
      <c r="J97" s="2"/>
      <c r="L97" s="2"/>
    </row>
    <row r="98" spans="1:12" ht="65.25" customHeight="1">
      <c r="A98" s="17"/>
      <c r="B98" s="48" t="s">
        <v>365</v>
      </c>
      <c r="C98" s="18" t="s">
        <v>167</v>
      </c>
      <c r="D98" s="1">
        <v>287.3</v>
      </c>
      <c r="E98" s="1"/>
      <c r="F98" s="4">
        <v>110.1366</v>
      </c>
      <c r="G98" s="5"/>
      <c r="H98" s="4">
        <f t="shared" si="11"/>
        <v>-177.16340000000002</v>
      </c>
      <c r="I98" s="1">
        <f t="shared" si="10"/>
        <v>38.335050469892096</v>
      </c>
      <c r="J98" s="2"/>
      <c r="L98" s="2"/>
    </row>
    <row r="99" spans="1:12" ht="44.25" customHeight="1">
      <c r="A99" s="17"/>
      <c r="B99" s="48" t="s">
        <v>366</v>
      </c>
      <c r="C99" s="18" t="s">
        <v>168</v>
      </c>
      <c r="D99" s="1">
        <v>5.48</v>
      </c>
      <c r="E99" s="1"/>
      <c r="F99" s="5">
        <v>1.782</v>
      </c>
      <c r="G99" s="5"/>
      <c r="H99" s="4">
        <f t="shared" si="11"/>
        <v>-3.6980000000000004</v>
      </c>
      <c r="I99" s="1">
        <f t="shared" si="10"/>
        <v>32.51824817518248</v>
      </c>
      <c r="J99" s="2"/>
      <c r="L99" s="2"/>
    </row>
    <row r="100" spans="1:12" ht="49.5" customHeight="1">
      <c r="A100" s="17"/>
      <c r="B100" s="48" t="s">
        <v>366</v>
      </c>
      <c r="C100" s="18" t="s">
        <v>168</v>
      </c>
      <c r="D100" s="1">
        <v>26</v>
      </c>
      <c r="E100" s="1"/>
      <c r="F100" s="5">
        <v>1.60636</v>
      </c>
      <c r="G100" s="5"/>
      <c r="H100" s="4">
        <f t="shared" si="11"/>
        <v>-24.39364</v>
      </c>
      <c r="I100" s="1">
        <f t="shared" si="10"/>
        <v>6.178307692307692</v>
      </c>
      <c r="J100" s="2"/>
      <c r="L100" s="2"/>
    </row>
    <row r="101" spans="1:12" ht="48.75" customHeight="1">
      <c r="A101" s="17" t="s">
        <v>304</v>
      </c>
      <c r="B101" s="48" t="s">
        <v>366</v>
      </c>
      <c r="C101" s="7" t="s">
        <v>169</v>
      </c>
      <c r="D101" s="1">
        <v>35</v>
      </c>
      <c r="E101" s="1"/>
      <c r="F101" s="5">
        <v>1.12</v>
      </c>
      <c r="G101" s="5"/>
      <c r="H101" s="4">
        <f t="shared" si="11"/>
        <v>-33.88</v>
      </c>
      <c r="I101" s="1">
        <f t="shared" si="10"/>
        <v>3.2</v>
      </c>
      <c r="J101" s="2"/>
      <c r="L101" s="2"/>
    </row>
    <row r="102" spans="1:12" ht="64.5" customHeight="1">
      <c r="A102" s="17"/>
      <c r="B102" s="48" t="s">
        <v>78</v>
      </c>
      <c r="C102" s="7" t="s">
        <v>170</v>
      </c>
      <c r="D102" s="1">
        <v>2.434</v>
      </c>
      <c r="E102" s="1"/>
      <c r="F102" s="4">
        <v>0.434</v>
      </c>
      <c r="G102" s="5"/>
      <c r="H102" s="4">
        <f t="shared" si="11"/>
        <v>-2</v>
      </c>
      <c r="I102" s="1">
        <f t="shared" si="10"/>
        <v>17.83073130649137</v>
      </c>
      <c r="J102" s="2"/>
      <c r="L102" s="2"/>
    </row>
    <row r="103" spans="1:12" ht="64.5" customHeight="1">
      <c r="A103" s="17"/>
      <c r="B103" s="48" t="s">
        <v>78</v>
      </c>
      <c r="C103" s="7" t="s">
        <v>171</v>
      </c>
      <c r="D103" s="1">
        <v>2</v>
      </c>
      <c r="E103" s="1"/>
      <c r="F103" s="4">
        <v>0</v>
      </c>
      <c r="G103" s="5"/>
      <c r="H103" s="4">
        <f t="shared" si="11"/>
        <v>-2</v>
      </c>
      <c r="I103" s="1">
        <f t="shared" si="10"/>
        <v>0</v>
      </c>
      <c r="J103" s="2"/>
      <c r="L103" s="2"/>
    </row>
    <row r="104" spans="1:12" ht="50.25" customHeight="1" hidden="1">
      <c r="A104" s="17"/>
      <c r="B104" s="48" t="s">
        <v>25</v>
      </c>
      <c r="C104" s="18" t="s">
        <v>33</v>
      </c>
      <c r="D104" s="1"/>
      <c r="E104" s="1"/>
      <c r="F104" s="4"/>
      <c r="G104" s="5"/>
      <c r="H104" s="4"/>
      <c r="I104" s="1"/>
      <c r="J104" s="2"/>
      <c r="L104" s="2"/>
    </row>
    <row r="105" spans="1:12" ht="15.75">
      <c r="A105" s="17"/>
      <c r="B105" s="64" t="s">
        <v>310</v>
      </c>
      <c r="C105" s="74" t="s">
        <v>106</v>
      </c>
      <c r="D105" s="6">
        <f>SUM(D106:D110)</f>
        <v>1899.8842200000001</v>
      </c>
      <c r="E105" s="6">
        <f>SUM(E106:E110)</f>
        <v>661.9</v>
      </c>
      <c r="F105" s="6">
        <f>SUM(F106:F110)</f>
        <v>682.17233</v>
      </c>
      <c r="G105" s="6">
        <f>SUM(G106:G110)</f>
        <v>649.99271</v>
      </c>
      <c r="H105" s="5">
        <f aca="true" t="shared" si="12" ref="H105:H136">F105-D105</f>
        <v>-1217.71189</v>
      </c>
      <c r="I105" s="6">
        <f aca="true" t="shared" si="13" ref="I105:I136">F105/D105*100</f>
        <v>35.90599484004346</v>
      </c>
      <c r="J105" s="2"/>
      <c r="L105" s="2"/>
    </row>
    <row r="106" spans="1:12" ht="65.25" customHeight="1">
      <c r="A106" s="17" t="s">
        <v>311</v>
      </c>
      <c r="B106" s="48" t="s">
        <v>312</v>
      </c>
      <c r="C106" s="18" t="s">
        <v>34</v>
      </c>
      <c r="D106" s="1">
        <v>1625.51422</v>
      </c>
      <c r="E106" s="1">
        <v>392.3</v>
      </c>
      <c r="F106" s="1">
        <v>602.60597</v>
      </c>
      <c r="G106" s="5">
        <f>F106-L105</f>
        <v>602.60597</v>
      </c>
      <c r="H106" s="4">
        <f t="shared" si="12"/>
        <v>-1022.9082500000001</v>
      </c>
      <c r="I106" s="1">
        <f t="shared" si="13"/>
        <v>37.07171322069394</v>
      </c>
      <c r="J106" s="2"/>
      <c r="L106" s="37"/>
    </row>
    <row r="107" spans="1:12" ht="79.5" customHeight="1">
      <c r="A107" s="17" t="s">
        <v>311</v>
      </c>
      <c r="B107" s="48" t="s">
        <v>20</v>
      </c>
      <c r="C107" s="7" t="s">
        <v>272</v>
      </c>
      <c r="D107" s="1">
        <v>140</v>
      </c>
      <c r="E107" s="1"/>
      <c r="F107" s="1">
        <v>32.17962</v>
      </c>
      <c r="G107" s="5"/>
      <c r="H107" s="4">
        <f t="shared" si="12"/>
        <v>-107.82038</v>
      </c>
      <c r="I107" s="1">
        <f t="shared" si="13"/>
        <v>22.985442857142857</v>
      </c>
      <c r="J107" s="2"/>
      <c r="L107" s="37"/>
    </row>
    <row r="108" spans="1:12" ht="48" customHeight="1">
      <c r="A108" s="17" t="s">
        <v>303</v>
      </c>
      <c r="B108" s="48" t="s">
        <v>313</v>
      </c>
      <c r="C108" s="7" t="s">
        <v>173</v>
      </c>
      <c r="D108" s="1">
        <f>34.14-2</f>
        <v>32.14</v>
      </c>
      <c r="E108" s="1">
        <v>3.4</v>
      </c>
      <c r="F108" s="4">
        <v>9.78718</v>
      </c>
      <c r="G108" s="5">
        <f>F108-L106</f>
        <v>9.78718</v>
      </c>
      <c r="H108" s="4">
        <f t="shared" si="12"/>
        <v>-22.35282</v>
      </c>
      <c r="I108" s="1">
        <f t="shared" si="13"/>
        <v>30.451711263223398</v>
      </c>
      <c r="J108" s="2"/>
      <c r="L108" s="2"/>
    </row>
    <row r="109" spans="1:12" ht="79.5" customHeight="1">
      <c r="A109" s="17" t="s">
        <v>301</v>
      </c>
      <c r="B109" s="48" t="s">
        <v>314</v>
      </c>
      <c r="C109" s="3" t="s">
        <v>174</v>
      </c>
      <c r="D109" s="1">
        <f>100.23+2</f>
        <v>102.23</v>
      </c>
      <c r="E109" s="1">
        <v>32.8</v>
      </c>
      <c r="F109" s="1">
        <v>37.59956</v>
      </c>
      <c r="G109" s="5">
        <f>F109-L108</f>
        <v>37.59956</v>
      </c>
      <c r="H109" s="4">
        <f t="shared" si="12"/>
        <v>-64.63044000000001</v>
      </c>
      <c r="I109" s="1">
        <f t="shared" si="13"/>
        <v>36.77937982979556</v>
      </c>
      <c r="J109" s="2"/>
      <c r="L109" s="39"/>
    </row>
    <row r="110" spans="1:12" ht="31.5" hidden="1">
      <c r="A110" s="17" t="s">
        <v>308</v>
      </c>
      <c r="B110" s="48" t="s">
        <v>315</v>
      </c>
      <c r="C110" s="3" t="s">
        <v>469</v>
      </c>
      <c r="D110" s="1">
        <v>0</v>
      </c>
      <c r="E110" s="1">
        <v>233.4</v>
      </c>
      <c r="F110" s="5">
        <v>0</v>
      </c>
      <c r="G110" s="5">
        <f>F110-L109</f>
        <v>0</v>
      </c>
      <c r="H110" s="4">
        <f t="shared" si="12"/>
        <v>0</v>
      </c>
      <c r="I110" s="1" t="e">
        <f t="shared" si="13"/>
        <v>#DIV/0!</v>
      </c>
      <c r="J110" s="2"/>
      <c r="L110" s="39"/>
    </row>
    <row r="111" spans="1:12" ht="15.75">
      <c r="A111" s="17"/>
      <c r="B111" s="64" t="s">
        <v>316</v>
      </c>
      <c r="C111" s="74" t="s">
        <v>443</v>
      </c>
      <c r="D111" s="6">
        <f>D112+D113+D114</f>
        <v>2963</v>
      </c>
      <c r="E111" s="6">
        <f>E112+E113+E114</f>
        <v>409.4</v>
      </c>
      <c r="F111" s="6">
        <f>F112+F113+F114</f>
        <v>1160.42365</v>
      </c>
      <c r="G111" s="85">
        <f>G112+G113+G114</f>
        <v>1157.79259</v>
      </c>
      <c r="H111" s="5">
        <f t="shared" si="12"/>
        <v>-1802.57635</v>
      </c>
      <c r="I111" s="6">
        <f t="shared" si="13"/>
        <v>39.163808639892004</v>
      </c>
      <c r="J111" s="2"/>
      <c r="L111" s="37"/>
    </row>
    <row r="112" spans="1:12" ht="31.5">
      <c r="A112" s="17" t="s">
        <v>306</v>
      </c>
      <c r="B112" s="64" t="s">
        <v>316</v>
      </c>
      <c r="C112" s="74" t="s">
        <v>175</v>
      </c>
      <c r="D112" s="6">
        <v>2955.6</v>
      </c>
      <c r="E112" s="6">
        <v>409.4</v>
      </c>
      <c r="F112" s="5">
        <v>1157.79259</v>
      </c>
      <c r="G112" s="5">
        <f>F112-L111</f>
        <v>1157.79259</v>
      </c>
      <c r="H112" s="5">
        <f t="shared" si="12"/>
        <v>-1797.80741</v>
      </c>
      <c r="I112" s="6">
        <f t="shared" si="13"/>
        <v>39.172844430910814</v>
      </c>
      <c r="J112" s="2"/>
      <c r="L112" s="37"/>
    </row>
    <row r="113" spans="1:12" ht="47.25">
      <c r="A113" s="17"/>
      <c r="B113" s="64" t="s">
        <v>462</v>
      </c>
      <c r="C113" s="74" t="s">
        <v>176</v>
      </c>
      <c r="D113" s="6">
        <v>6.32</v>
      </c>
      <c r="E113" s="6"/>
      <c r="F113" s="5">
        <v>2.63106</v>
      </c>
      <c r="G113" s="5"/>
      <c r="H113" s="5">
        <f t="shared" si="12"/>
        <v>-3.68894</v>
      </c>
      <c r="I113" s="6">
        <f t="shared" si="13"/>
        <v>41.630696202531645</v>
      </c>
      <c r="J113" s="2"/>
      <c r="L113" s="37"/>
    </row>
    <row r="114" spans="1:12" ht="33" customHeight="1">
      <c r="A114" s="17"/>
      <c r="B114" s="64" t="s">
        <v>463</v>
      </c>
      <c r="C114" s="74" t="s">
        <v>177</v>
      </c>
      <c r="D114" s="6">
        <v>1.08</v>
      </c>
      <c r="E114" s="6"/>
      <c r="F114" s="5">
        <v>0</v>
      </c>
      <c r="G114" s="5"/>
      <c r="H114" s="5">
        <f t="shared" si="12"/>
        <v>-1.08</v>
      </c>
      <c r="I114" s="6">
        <f t="shared" si="13"/>
        <v>0</v>
      </c>
      <c r="J114" s="2" t="s">
        <v>373</v>
      </c>
      <c r="L114" s="2"/>
    </row>
    <row r="115" spans="1:12" ht="16.5" customHeight="1">
      <c r="A115" s="19" t="s">
        <v>413</v>
      </c>
      <c r="B115" s="72" t="s">
        <v>317</v>
      </c>
      <c r="C115" s="55" t="s">
        <v>107</v>
      </c>
      <c r="D115" s="6">
        <f>SUM(D116:D121)</f>
        <v>7095.6</v>
      </c>
      <c r="E115" s="6">
        <f>SUM(E116:E121)</f>
        <v>3220.6</v>
      </c>
      <c r="F115" s="6">
        <f>SUM(F116:F121)</f>
        <v>2339.73118</v>
      </c>
      <c r="G115" s="6">
        <f>SUM(G116:G121)</f>
        <v>2339.73118</v>
      </c>
      <c r="H115" s="5">
        <f t="shared" si="12"/>
        <v>-4755.86882</v>
      </c>
      <c r="I115" s="6">
        <f t="shared" si="13"/>
        <v>32.974395118101356</v>
      </c>
      <c r="J115" s="2" t="s">
        <v>374</v>
      </c>
      <c r="L115" s="37"/>
    </row>
    <row r="116" spans="1:12" ht="47.25">
      <c r="A116" s="17" t="s">
        <v>318</v>
      </c>
      <c r="B116" s="64" t="s">
        <v>17</v>
      </c>
      <c r="C116" s="55" t="s">
        <v>178</v>
      </c>
      <c r="D116" s="6">
        <v>258</v>
      </c>
      <c r="E116" s="6">
        <v>768.1</v>
      </c>
      <c r="F116" s="5">
        <v>0</v>
      </c>
      <c r="G116" s="5">
        <f>F116-L115</f>
        <v>0</v>
      </c>
      <c r="H116" s="5">
        <f t="shared" si="12"/>
        <v>-258</v>
      </c>
      <c r="I116" s="6">
        <f t="shared" si="13"/>
        <v>0</v>
      </c>
      <c r="J116" s="2"/>
      <c r="L116" s="37"/>
    </row>
    <row r="117" spans="1:12" ht="48" customHeight="1">
      <c r="A117" s="17" t="s">
        <v>318</v>
      </c>
      <c r="B117" s="64" t="s">
        <v>370</v>
      </c>
      <c r="C117" s="86" t="s">
        <v>219</v>
      </c>
      <c r="D117" s="6">
        <f>1054-400</f>
        <v>654</v>
      </c>
      <c r="E117" s="6">
        <v>852.5</v>
      </c>
      <c r="F117" s="5">
        <v>150</v>
      </c>
      <c r="G117" s="5">
        <f>F117-L116</f>
        <v>150</v>
      </c>
      <c r="H117" s="5">
        <f t="shared" si="12"/>
        <v>-504</v>
      </c>
      <c r="I117" s="6">
        <f t="shared" si="13"/>
        <v>22.93577981651376</v>
      </c>
      <c r="J117" s="2"/>
      <c r="L117" s="37"/>
    </row>
    <row r="118" spans="1:12" ht="34.5" customHeight="1">
      <c r="A118" s="17" t="s">
        <v>318</v>
      </c>
      <c r="B118" s="64" t="s">
        <v>40</v>
      </c>
      <c r="C118" s="86" t="s">
        <v>220</v>
      </c>
      <c r="D118" s="6">
        <v>200</v>
      </c>
      <c r="E118" s="6"/>
      <c r="F118" s="5">
        <v>0</v>
      </c>
      <c r="G118" s="5"/>
      <c r="H118" s="5">
        <f t="shared" si="12"/>
        <v>-200</v>
      </c>
      <c r="I118" s="6">
        <f t="shared" si="13"/>
        <v>0</v>
      </c>
      <c r="J118" s="2"/>
      <c r="L118" s="37"/>
    </row>
    <row r="119" spans="1:12" ht="48" customHeight="1">
      <c r="A119" s="17" t="s">
        <v>320</v>
      </c>
      <c r="B119" s="64" t="s">
        <v>15</v>
      </c>
      <c r="C119" s="86" t="s">
        <v>221</v>
      </c>
      <c r="D119" s="6">
        <v>98</v>
      </c>
      <c r="E119" s="6">
        <v>0</v>
      </c>
      <c r="F119" s="5">
        <v>73.5</v>
      </c>
      <c r="G119" s="5">
        <f>F119-L117</f>
        <v>73.5</v>
      </c>
      <c r="H119" s="5">
        <f t="shared" si="12"/>
        <v>-24.5</v>
      </c>
      <c r="I119" s="6">
        <f t="shared" si="13"/>
        <v>75</v>
      </c>
      <c r="J119" s="2"/>
      <c r="L119" s="37"/>
    </row>
    <row r="120" spans="1:12" ht="47.25" customHeight="1">
      <c r="A120" s="17"/>
      <c r="B120" s="64" t="s">
        <v>321</v>
      </c>
      <c r="C120" s="63" t="s">
        <v>222</v>
      </c>
      <c r="D120" s="6">
        <v>0</v>
      </c>
      <c r="E120" s="6"/>
      <c r="F120" s="5">
        <v>0</v>
      </c>
      <c r="G120" s="5"/>
      <c r="H120" s="5">
        <f t="shared" si="12"/>
        <v>0</v>
      </c>
      <c r="I120" s="6" t="e">
        <f t="shared" si="13"/>
        <v>#DIV/0!</v>
      </c>
      <c r="J120" s="2"/>
      <c r="L120" s="37"/>
    </row>
    <row r="121" spans="1:12" ht="15.75">
      <c r="A121" s="17" t="s">
        <v>320</v>
      </c>
      <c r="B121" s="64" t="s">
        <v>321</v>
      </c>
      <c r="C121" s="63" t="s">
        <v>384</v>
      </c>
      <c r="D121" s="6">
        <v>5885.6</v>
      </c>
      <c r="E121" s="6">
        <v>1600</v>
      </c>
      <c r="F121" s="5">
        <v>2116.23118</v>
      </c>
      <c r="G121" s="5">
        <f>F121-L119</f>
        <v>2116.23118</v>
      </c>
      <c r="H121" s="5">
        <f t="shared" si="12"/>
        <v>-3769.36882</v>
      </c>
      <c r="I121" s="6">
        <f t="shared" si="13"/>
        <v>35.95608230256898</v>
      </c>
      <c r="J121" s="2"/>
      <c r="L121" s="2"/>
    </row>
    <row r="122" spans="1:12" ht="15.75">
      <c r="A122" s="19" t="s">
        <v>322</v>
      </c>
      <c r="B122" s="72" t="s">
        <v>335</v>
      </c>
      <c r="C122" s="55" t="s">
        <v>109</v>
      </c>
      <c r="D122" s="6">
        <f>SUM(D123:D128)</f>
        <v>3533.5376400000005</v>
      </c>
      <c r="E122" s="6">
        <f>SUM(E123:E128)</f>
        <v>970.5999999999999</v>
      </c>
      <c r="F122" s="6">
        <f>SUM(F123:F128)</f>
        <v>1470.0240099999999</v>
      </c>
      <c r="G122" s="6" t="e">
        <f>SUM(G123:G128)</f>
        <v>#REF!</v>
      </c>
      <c r="H122" s="5">
        <f t="shared" si="12"/>
        <v>-2063.5136300000004</v>
      </c>
      <c r="I122" s="6">
        <f t="shared" si="13"/>
        <v>41.602047572924675</v>
      </c>
      <c r="J122" s="2"/>
      <c r="L122" s="37"/>
    </row>
    <row r="123" spans="1:12" ht="15.75">
      <c r="A123" s="17" t="s">
        <v>322</v>
      </c>
      <c r="B123" s="64" t="s">
        <v>444</v>
      </c>
      <c r="C123" s="74" t="s">
        <v>447</v>
      </c>
      <c r="D123" s="6">
        <v>432.13914</v>
      </c>
      <c r="E123" s="6">
        <v>123.4</v>
      </c>
      <c r="F123" s="5">
        <v>152.42708</v>
      </c>
      <c r="G123" s="5">
        <f>F123-L122</f>
        <v>152.42708</v>
      </c>
      <c r="H123" s="5">
        <f t="shared" si="12"/>
        <v>-279.71206</v>
      </c>
      <c r="I123" s="6">
        <f t="shared" si="13"/>
        <v>35.27268555215804</v>
      </c>
      <c r="J123" s="2"/>
      <c r="L123" s="37"/>
    </row>
    <row r="124" spans="1:12" ht="15.75">
      <c r="A124" s="17" t="s">
        <v>322</v>
      </c>
      <c r="B124" s="64" t="s">
        <v>445</v>
      </c>
      <c r="C124" s="74" t="s">
        <v>449</v>
      </c>
      <c r="D124" s="6">
        <v>279.96924</v>
      </c>
      <c r="E124" s="6">
        <v>86.6</v>
      </c>
      <c r="F124" s="5">
        <v>140.11179</v>
      </c>
      <c r="G124" s="5">
        <f>F124-L123</f>
        <v>140.11179</v>
      </c>
      <c r="H124" s="5">
        <f t="shared" si="12"/>
        <v>-139.85745</v>
      </c>
      <c r="I124" s="6">
        <f t="shared" si="13"/>
        <v>50.04542284716707</v>
      </c>
      <c r="J124" s="2"/>
      <c r="L124" s="37"/>
    </row>
    <row r="125" spans="1:12" ht="18" customHeight="1">
      <c r="A125" s="17" t="s">
        <v>322</v>
      </c>
      <c r="B125" s="64" t="s">
        <v>446</v>
      </c>
      <c r="C125" s="74" t="s">
        <v>448</v>
      </c>
      <c r="D125" s="6">
        <f>2240.05368+14</f>
        <v>2254.05368</v>
      </c>
      <c r="E125" s="6">
        <v>581.9</v>
      </c>
      <c r="F125" s="5">
        <v>928.38964</v>
      </c>
      <c r="G125" s="5" t="e">
        <f>F125-#REF!</f>
        <v>#REF!</v>
      </c>
      <c r="H125" s="5">
        <f t="shared" si="12"/>
        <v>-1325.66404</v>
      </c>
      <c r="I125" s="6">
        <f t="shared" si="13"/>
        <v>41.18755681098065</v>
      </c>
      <c r="J125" s="2"/>
      <c r="L125" s="37"/>
    </row>
    <row r="126" spans="1:12" ht="63" hidden="1">
      <c r="A126" s="17" t="s">
        <v>361</v>
      </c>
      <c r="B126" s="64" t="s">
        <v>432</v>
      </c>
      <c r="C126" s="74" t="s">
        <v>431</v>
      </c>
      <c r="D126" s="6">
        <v>0</v>
      </c>
      <c r="E126" s="6">
        <v>18.4</v>
      </c>
      <c r="F126" s="5">
        <v>0</v>
      </c>
      <c r="G126" s="5">
        <f>F126-L125</f>
        <v>0</v>
      </c>
      <c r="H126" s="5">
        <f t="shared" si="12"/>
        <v>0</v>
      </c>
      <c r="I126" s="6" t="e">
        <f t="shared" si="13"/>
        <v>#DIV/0!</v>
      </c>
      <c r="J126" s="2"/>
      <c r="L126" s="37"/>
    </row>
    <row r="127" spans="1:12" ht="15.75">
      <c r="A127" s="17" t="s">
        <v>322</v>
      </c>
      <c r="B127" s="64" t="s">
        <v>424</v>
      </c>
      <c r="C127" s="74" t="s">
        <v>397</v>
      </c>
      <c r="D127" s="6">
        <v>234.49958</v>
      </c>
      <c r="E127" s="6">
        <v>60.3</v>
      </c>
      <c r="F127" s="5">
        <v>98.34776</v>
      </c>
      <c r="G127" s="5">
        <f>F127-L126</f>
        <v>98.34776</v>
      </c>
      <c r="H127" s="5">
        <f t="shared" si="12"/>
        <v>-136.15182000000001</v>
      </c>
      <c r="I127" s="6">
        <f t="shared" si="13"/>
        <v>41.939418398958324</v>
      </c>
      <c r="J127" s="2"/>
      <c r="L127" s="37"/>
    </row>
    <row r="128" spans="1:12" ht="50.25" customHeight="1">
      <c r="A128" s="17" t="s">
        <v>425</v>
      </c>
      <c r="B128" s="64" t="s">
        <v>424</v>
      </c>
      <c r="C128" s="74" t="s">
        <v>35</v>
      </c>
      <c r="D128" s="6">
        <f>294.876+38</f>
        <v>332.876</v>
      </c>
      <c r="E128" s="6">
        <v>100</v>
      </c>
      <c r="F128" s="5">
        <v>150.74774</v>
      </c>
      <c r="G128" s="5">
        <f>F128-L127</f>
        <v>150.74774</v>
      </c>
      <c r="H128" s="5">
        <f t="shared" si="12"/>
        <v>-182.12825999999998</v>
      </c>
      <c r="I128" s="6">
        <f t="shared" si="13"/>
        <v>45.28645501628234</v>
      </c>
      <c r="J128" s="2"/>
      <c r="L128" s="2"/>
    </row>
    <row r="129" spans="1:12" ht="19.5" customHeight="1">
      <c r="A129" s="17" t="s">
        <v>414</v>
      </c>
      <c r="B129" s="64" t="s">
        <v>371</v>
      </c>
      <c r="C129" s="74" t="s">
        <v>110</v>
      </c>
      <c r="D129" s="6">
        <f>SUM(D130:D133)</f>
        <v>390</v>
      </c>
      <c r="E129" s="6">
        <f>SUM(E130:E133)</f>
        <v>141.2</v>
      </c>
      <c r="F129" s="6">
        <f>SUM(F130:F133)</f>
        <v>118.10932</v>
      </c>
      <c r="G129" s="6">
        <f>SUM(G130:G132)</f>
        <v>10</v>
      </c>
      <c r="H129" s="5">
        <f t="shared" si="12"/>
        <v>-271.89068</v>
      </c>
      <c r="I129" s="6">
        <f t="shared" si="13"/>
        <v>30.284441025641023</v>
      </c>
      <c r="J129" s="2"/>
      <c r="L129" s="38"/>
    </row>
    <row r="130" spans="1:12" ht="15" customHeight="1" hidden="1">
      <c r="A130" s="23" t="s">
        <v>342</v>
      </c>
      <c r="B130" s="50" t="s">
        <v>341</v>
      </c>
      <c r="C130" s="7" t="s">
        <v>470</v>
      </c>
      <c r="D130" s="1">
        <v>0</v>
      </c>
      <c r="E130" s="1">
        <v>21</v>
      </c>
      <c r="F130" s="8">
        <v>0</v>
      </c>
      <c r="G130" s="5">
        <f>F130-L129</f>
        <v>0</v>
      </c>
      <c r="H130" s="4">
        <f t="shared" si="12"/>
        <v>0</v>
      </c>
      <c r="I130" s="1" t="e">
        <f t="shared" si="13"/>
        <v>#DIV/0!</v>
      </c>
      <c r="J130" s="2"/>
      <c r="L130" s="38"/>
    </row>
    <row r="131" spans="1:12" ht="23.25" customHeight="1" hidden="1">
      <c r="A131" s="23" t="s">
        <v>382</v>
      </c>
      <c r="B131" s="50" t="s">
        <v>383</v>
      </c>
      <c r="C131" s="7" t="s">
        <v>471</v>
      </c>
      <c r="D131" s="1">
        <v>0</v>
      </c>
      <c r="E131" s="1">
        <v>120.2</v>
      </c>
      <c r="F131" s="8">
        <v>0</v>
      </c>
      <c r="G131" s="5">
        <f>F131-L130</f>
        <v>0</v>
      </c>
      <c r="H131" s="4">
        <f t="shared" si="12"/>
        <v>0</v>
      </c>
      <c r="I131" s="1" t="e">
        <f t="shared" si="13"/>
        <v>#DIV/0!</v>
      </c>
      <c r="J131" s="2"/>
      <c r="L131" s="37"/>
    </row>
    <row r="132" spans="1:12" ht="31.5" customHeight="1">
      <c r="A132" s="23" t="s">
        <v>382</v>
      </c>
      <c r="B132" s="50" t="s">
        <v>383</v>
      </c>
      <c r="C132" s="7" t="s">
        <v>179</v>
      </c>
      <c r="D132" s="1">
        <v>10</v>
      </c>
      <c r="E132" s="1"/>
      <c r="F132" s="4">
        <v>10</v>
      </c>
      <c r="G132" s="5">
        <f>F132-L131</f>
        <v>10</v>
      </c>
      <c r="H132" s="4">
        <f t="shared" si="12"/>
        <v>0</v>
      </c>
      <c r="I132" s="1">
        <f t="shared" si="13"/>
        <v>100</v>
      </c>
      <c r="J132" s="2"/>
      <c r="L132" s="2"/>
    </row>
    <row r="133" spans="1:12" ht="47.25">
      <c r="A133" s="23"/>
      <c r="B133" s="50" t="s">
        <v>42</v>
      </c>
      <c r="C133" s="63" t="s">
        <v>223</v>
      </c>
      <c r="D133" s="1">
        <v>380</v>
      </c>
      <c r="E133" s="1"/>
      <c r="F133" s="4">
        <v>108.10932</v>
      </c>
      <c r="G133" s="5"/>
      <c r="H133" s="4">
        <f t="shared" si="12"/>
        <v>-271.89068</v>
      </c>
      <c r="I133" s="1">
        <f t="shared" si="13"/>
        <v>28.44982105263158</v>
      </c>
      <c r="J133" s="2"/>
      <c r="L133" s="2"/>
    </row>
    <row r="134" spans="1:12" ht="15.75">
      <c r="A134" s="19" t="s">
        <v>323</v>
      </c>
      <c r="B134" s="72" t="s">
        <v>324</v>
      </c>
      <c r="C134" s="55" t="s">
        <v>111</v>
      </c>
      <c r="D134" s="6">
        <f>D136+D137+D135+D138</f>
        <v>1381.2573699999998</v>
      </c>
      <c r="E134" s="6">
        <f>E136+E137+E135+E138</f>
        <v>336.9</v>
      </c>
      <c r="F134" s="6">
        <f>F136+F137+F135+F138</f>
        <v>537.8813700000001</v>
      </c>
      <c r="G134" s="6">
        <f>G136+G137</f>
        <v>493.1347</v>
      </c>
      <c r="H134" s="5">
        <f t="shared" si="12"/>
        <v>-843.3759999999997</v>
      </c>
      <c r="I134" s="6">
        <f t="shared" si="13"/>
        <v>38.941429865456584</v>
      </c>
      <c r="J134" s="2"/>
      <c r="L134" s="37"/>
    </row>
    <row r="135" spans="1:12" ht="48" customHeight="1">
      <c r="A135" s="19" t="s">
        <v>323</v>
      </c>
      <c r="B135" s="49" t="s">
        <v>21</v>
      </c>
      <c r="C135" s="55" t="s">
        <v>193</v>
      </c>
      <c r="D135" s="1">
        <v>45</v>
      </c>
      <c r="E135" s="1"/>
      <c r="F135" s="1">
        <v>15.2602</v>
      </c>
      <c r="G135" s="1"/>
      <c r="H135" s="4">
        <f t="shared" si="12"/>
        <v>-29.739800000000002</v>
      </c>
      <c r="I135" s="1">
        <f t="shared" si="13"/>
        <v>33.91155555555556</v>
      </c>
      <c r="J135" s="2"/>
      <c r="L135" s="37"/>
    </row>
    <row r="136" spans="1:12" ht="62.25" customHeight="1">
      <c r="A136" s="19" t="s">
        <v>323</v>
      </c>
      <c r="B136" s="49" t="s">
        <v>415</v>
      </c>
      <c r="C136" s="7" t="s">
        <v>224</v>
      </c>
      <c r="D136" s="1">
        <v>70</v>
      </c>
      <c r="E136" s="1">
        <v>15</v>
      </c>
      <c r="F136" s="4">
        <v>47.46801</v>
      </c>
      <c r="G136" s="5">
        <f>F136-L134</f>
        <v>47.46801</v>
      </c>
      <c r="H136" s="4">
        <f t="shared" si="12"/>
        <v>-22.53199</v>
      </c>
      <c r="I136" s="1">
        <f t="shared" si="13"/>
        <v>67.81144285714285</v>
      </c>
      <c r="J136" s="2"/>
      <c r="L136" s="37"/>
    </row>
    <row r="137" spans="1:12" ht="31.5">
      <c r="A137" s="19" t="s">
        <v>323</v>
      </c>
      <c r="B137" s="49" t="s">
        <v>325</v>
      </c>
      <c r="C137" s="7" t="s">
        <v>427</v>
      </c>
      <c r="D137" s="1">
        <v>1205.39737</v>
      </c>
      <c r="E137" s="1">
        <v>321.9</v>
      </c>
      <c r="F137" s="4">
        <v>445.66669</v>
      </c>
      <c r="G137" s="5">
        <f>F137-L136</f>
        <v>445.66669</v>
      </c>
      <c r="H137" s="4">
        <f aca="true" t="shared" si="14" ref="H137:H164">F137-D137</f>
        <v>-759.7306799999999</v>
      </c>
      <c r="I137" s="1">
        <f aca="true" t="shared" si="15" ref="I137:I164">F137/D137*100</f>
        <v>36.97259518659809</v>
      </c>
      <c r="J137" s="2"/>
      <c r="L137" s="37"/>
    </row>
    <row r="138" spans="1:12" ht="46.5" customHeight="1">
      <c r="A138" s="19" t="s">
        <v>323</v>
      </c>
      <c r="B138" s="49" t="s">
        <v>22</v>
      </c>
      <c r="C138" s="55" t="s">
        <v>194</v>
      </c>
      <c r="D138" s="1">
        <v>60.86</v>
      </c>
      <c r="E138" s="1"/>
      <c r="F138" s="4">
        <v>29.48647</v>
      </c>
      <c r="G138" s="5"/>
      <c r="H138" s="4">
        <f t="shared" si="14"/>
        <v>-31.37353</v>
      </c>
      <c r="I138" s="1">
        <f t="shared" si="15"/>
        <v>48.44967137693067</v>
      </c>
      <c r="J138" s="2"/>
      <c r="L138" s="37"/>
    </row>
    <row r="139" spans="1:12" ht="27.75" customHeight="1" hidden="1">
      <c r="A139" s="17" t="s">
        <v>343</v>
      </c>
      <c r="B139" s="48" t="s">
        <v>340</v>
      </c>
      <c r="C139" s="24" t="s">
        <v>7</v>
      </c>
      <c r="D139" s="1"/>
      <c r="E139" s="1"/>
      <c r="F139" s="4"/>
      <c r="G139" s="5">
        <f>F139-L137</f>
        <v>0</v>
      </c>
      <c r="H139" s="4">
        <f t="shared" si="14"/>
        <v>0</v>
      </c>
      <c r="I139" s="1" t="e">
        <f t="shared" si="15"/>
        <v>#DIV/0!</v>
      </c>
      <c r="J139" s="2"/>
      <c r="L139" s="37"/>
    </row>
    <row r="140" spans="1:12" ht="31.5" customHeight="1">
      <c r="A140" s="17" t="s">
        <v>416</v>
      </c>
      <c r="B140" s="64" t="s">
        <v>464</v>
      </c>
      <c r="C140" s="87" t="s">
        <v>199</v>
      </c>
      <c r="D140" s="88">
        <f>D141</f>
        <v>100</v>
      </c>
      <c r="E140" s="88">
        <f>E141</f>
        <v>50</v>
      </c>
      <c r="F140" s="88">
        <f>F141</f>
        <v>0</v>
      </c>
      <c r="G140" s="89">
        <f>G141</f>
        <v>0</v>
      </c>
      <c r="H140" s="5">
        <f t="shared" si="14"/>
        <v>-100</v>
      </c>
      <c r="I140" s="6">
        <f t="shared" si="15"/>
        <v>0</v>
      </c>
      <c r="J140" s="2"/>
      <c r="L140" s="37"/>
    </row>
    <row r="141" spans="1:12" ht="29.25" customHeight="1">
      <c r="A141" s="19" t="s">
        <v>416</v>
      </c>
      <c r="B141" s="49" t="s">
        <v>417</v>
      </c>
      <c r="C141" s="7" t="s">
        <v>202</v>
      </c>
      <c r="D141" s="9">
        <v>100</v>
      </c>
      <c r="E141" s="9">
        <v>50</v>
      </c>
      <c r="F141" s="4">
        <v>0</v>
      </c>
      <c r="G141" s="5">
        <f>F141-L140</f>
        <v>0</v>
      </c>
      <c r="H141" s="4">
        <f t="shared" si="14"/>
        <v>-100</v>
      </c>
      <c r="I141" s="1">
        <f t="shared" si="15"/>
        <v>0</v>
      </c>
      <c r="J141" s="2"/>
      <c r="L141" s="2"/>
    </row>
    <row r="142" spans="1:12" ht="30" customHeight="1" hidden="1">
      <c r="A142" s="19" t="s">
        <v>416</v>
      </c>
      <c r="B142" s="49" t="s">
        <v>478</v>
      </c>
      <c r="C142" s="7" t="s">
        <v>480</v>
      </c>
      <c r="D142" s="9"/>
      <c r="E142" s="9"/>
      <c r="F142" s="4"/>
      <c r="G142" s="5"/>
      <c r="H142" s="4">
        <f t="shared" si="14"/>
        <v>0</v>
      </c>
      <c r="I142" s="1" t="e">
        <f t="shared" si="15"/>
        <v>#DIV/0!</v>
      </c>
      <c r="J142" s="2"/>
      <c r="L142" s="2"/>
    </row>
    <row r="143" spans="1:12" ht="31.5">
      <c r="A143" s="17"/>
      <c r="B143" s="64" t="s">
        <v>367</v>
      </c>
      <c r="C143" s="74" t="s">
        <v>198</v>
      </c>
      <c r="D143" s="6">
        <f>SUM(D144:D148)</f>
        <v>776.12</v>
      </c>
      <c r="E143" s="6">
        <f>SUM(E144:E148)</f>
        <v>447.1</v>
      </c>
      <c r="F143" s="6">
        <f>SUM(F144:F148)</f>
        <v>226.86548000000002</v>
      </c>
      <c r="G143" s="6">
        <f>SUM(G144:G146)</f>
        <v>205.63148</v>
      </c>
      <c r="H143" s="5">
        <f t="shared" si="14"/>
        <v>-549.25452</v>
      </c>
      <c r="I143" s="6">
        <f t="shared" si="15"/>
        <v>29.23072205329073</v>
      </c>
      <c r="J143" s="2"/>
      <c r="L143" s="37"/>
    </row>
    <row r="144" spans="1:12" ht="50.25" customHeight="1" hidden="1">
      <c r="A144" s="17" t="s">
        <v>326</v>
      </c>
      <c r="B144" s="64" t="s">
        <v>327</v>
      </c>
      <c r="C144" s="55" t="s">
        <v>9</v>
      </c>
      <c r="D144" s="6">
        <v>0</v>
      </c>
      <c r="E144" s="6">
        <v>140</v>
      </c>
      <c r="F144" s="5"/>
      <c r="G144" s="5">
        <f>F144-L143</f>
        <v>0</v>
      </c>
      <c r="H144" s="5">
        <f t="shared" si="14"/>
        <v>0</v>
      </c>
      <c r="I144" s="6" t="e">
        <f t="shared" si="15"/>
        <v>#DIV/0!</v>
      </c>
      <c r="J144" s="2"/>
      <c r="L144" s="37"/>
    </row>
    <row r="145" spans="1:12" ht="48" customHeight="1">
      <c r="A145" s="17" t="s">
        <v>326</v>
      </c>
      <c r="B145" s="64" t="s">
        <v>327</v>
      </c>
      <c r="C145" s="55" t="s">
        <v>195</v>
      </c>
      <c r="D145" s="6">
        <v>408.6</v>
      </c>
      <c r="E145" s="6">
        <v>292.6</v>
      </c>
      <c r="F145" s="5">
        <v>199.67748</v>
      </c>
      <c r="G145" s="5">
        <f>F145-L144</f>
        <v>199.67748</v>
      </c>
      <c r="H145" s="5">
        <f t="shared" si="14"/>
        <v>-208.92252000000002</v>
      </c>
      <c r="I145" s="6">
        <f t="shared" si="15"/>
        <v>48.868693098384725</v>
      </c>
      <c r="J145" s="2"/>
      <c r="L145" s="37"/>
    </row>
    <row r="146" spans="1:12" ht="48.75" customHeight="1">
      <c r="A146" s="17" t="s">
        <v>326</v>
      </c>
      <c r="B146" s="64" t="s">
        <v>389</v>
      </c>
      <c r="C146" s="63" t="s">
        <v>196</v>
      </c>
      <c r="D146" s="6">
        <v>18</v>
      </c>
      <c r="E146" s="6">
        <v>12.5</v>
      </c>
      <c r="F146" s="5">
        <v>5.954</v>
      </c>
      <c r="G146" s="5">
        <f>F146-L145</f>
        <v>5.954</v>
      </c>
      <c r="H146" s="5">
        <f t="shared" si="14"/>
        <v>-12.046</v>
      </c>
      <c r="I146" s="6">
        <f t="shared" si="15"/>
        <v>33.077777777777776</v>
      </c>
      <c r="J146" s="2"/>
      <c r="L146" s="37"/>
    </row>
    <row r="147" spans="1:12" ht="31.5" hidden="1">
      <c r="A147" s="17" t="s">
        <v>328</v>
      </c>
      <c r="B147" s="64" t="s">
        <v>435</v>
      </c>
      <c r="C147" s="63" t="s">
        <v>10</v>
      </c>
      <c r="D147" s="6">
        <v>0</v>
      </c>
      <c r="E147" s="6">
        <v>2</v>
      </c>
      <c r="F147" s="5">
        <v>0</v>
      </c>
      <c r="G147" s="5">
        <f>F147-L146</f>
        <v>0</v>
      </c>
      <c r="H147" s="5">
        <f t="shared" si="14"/>
        <v>0</v>
      </c>
      <c r="I147" s="6" t="e">
        <f t="shared" si="15"/>
        <v>#DIV/0!</v>
      </c>
      <c r="J147" s="2"/>
      <c r="L147" s="37"/>
    </row>
    <row r="148" spans="1:12" ht="49.5" customHeight="1">
      <c r="A148" s="17" t="s">
        <v>326</v>
      </c>
      <c r="B148" s="64" t="s">
        <v>327</v>
      </c>
      <c r="C148" s="63" t="s">
        <v>225</v>
      </c>
      <c r="D148" s="6">
        <v>349.52</v>
      </c>
      <c r="E148" s="6"/>
      <c r="F148" s="5">
        <v>21.234</v>
      </c>
      <c r="G148" s="5"/>
      <c r="H148" s="5">
        <f t="shared" si="14"/>
        <v>-328.286</v>
      </c>
      <c r="I148" s="6">
        <f t="shared" si="15"/>
        <v>6.075188830395972</v>
      </c>
      <c r="J148" s="2"/>
      <c r="L148" s="37"/>
    </row>
    <row r="149" spans="1:12" ht="31.5">
      <c r="A149" s="17"/>
      <c r="B149" s="64" t="s">
        <v>48</v>
      </c>
      <c r="C149" s="63" t="s">
        <v>197</v>
      </c>
      <c r="D149" s="6">
        <f>D150+D151+D152+D155+D153+D154</f>
        <v>339.14347</v>
      </c>
      <c r="E149" s="6">
        <f>E150+E151+E152+E155+E153+E154</f>
        <v>10</v>
      </c>
      <c r="F149" s="6">
        <f>F150+F151+F152+F155+F153+F154</f>
        <v>171.58907999999997</v>
      </c>
      <c r="G149" s="5"/>
      <c r="H149" s="5">
        <f t="shared" si="14"/>
        <v>-167.55439</v>
      </c>
      <c r="I149" s="6">
        <f t="shared" si="15"/>
        <v>50.59483527723532</v>
      </c>
      <c r="J149" s="2"/>
      <c r="L149" s="37"/>
    </row>
    <row r="150" spans="1:12" ht="65.25" customHeight="1">
      <c r="A150" s="17"/>
      <c r="B150" s="64" t="s">
        <v>435</v>
      </c>
      <c r="C150" s="63" t="s">
        <v>129</v>
      </c>
      <c r="D150" s="6">
        <v>20.385</v>
      </c>
      <c r="E150" s="6"/>
      <c r="F150" s="5">
        <v>0.385</v>
      </c>
      <c r="G150" s="5"/>
      <c r="H150" s="5">
        <f t="shared" si="14"/>
        <v>-20</v>
      </c>
      <c r="I150" s="6">
        <f t="shared" si="15"/>
        <v>1.888643610497915</v>
      </c>
      <c r="J150" s="2"/>
      <c r="L150" s="37"/>
    </row>
    <row r="151" spans="1:12" ht="63">
      <c r="A151" s="17" t="s">
        <v>328</v>
      </c>
      <c r="B151" s="64" t="s">
        <v>435</v>
      </c>
      <c r="C151" s="63" t="s">
        <v>201</v>
      </c>
      <c r="D151" s="6">
        <v>20.75847</v>
      </c>
      <c r="E151" s="6">
        <v>10</v>
      </c>
      <c r="F151" s="5">
        <v>2.85127</v>
      </c>
      <c r="G151" s="5">
        <f>F151-L147</f>
        <v>2.85127</v>
      </c>
      <c r="H151" s="5">
        <f t="shared" si="14"/>
        <v>-17.9072</v>
      </c>
      <c r="I151" s="6">
        <f t="shared" si="15"/>
        <v>13.73545352812611</v>
      </c>
      <c r="J151" s="2"/>
      <c r="L151" s="37"/>
    </row>
    <row r="152" spans="1:12" ht="47.25">
      <c r="A152" s="25" t="s">
        <v>328</v>
      </c>
      <c r="B152" s="64" t="s">
        <v>435</v>
      </c>
      <c r="C152" s="63" t="s">
        <v>226</v>
      </c>
      <c r="D152" s="6">
        <v>30</v>
      </c>
      <c r="E152" s="6"/>
      <c r="F152" s="5">
        <v>0</v>
      </c>
      <c r="G152" s="5"/>
      <c r="H152" s="5">
        <f t="shared" si="14"/>
        <v>-30</v>
      </c>
      <c r="I152" s="6">
        <f t="shared" si="15"/>
        <v>0</v>
      </c>
      <c r="J152" s="2"/>
      <c r="L152" s="37"/>
    </row>
    <row r="153" spans="1:12" ht="63.75" customHeight="1">
      <c r="A153" s="25"/>
      <c r="B153" s="64" t="s">
        <v>435</v>
      </c>
      <c r="C153" s="63" t="s">
        <v>201</v>
      </c>
      <c r="D153" s="6">
        <v>238</v>
      </c>
      <c r="E153" s="6"/>
      <c r="F153" s="5">
        <v>162.71281</v>
      </c>
      <c r="G153" s="5"/>
      <c r="H153" s="5">
        <f t="shared" si="14"/>
        <v>-75.28719000000001</v>
      </c>
      <c r="I153" s="6">
        <f t="shared" si="15"/>
        <v>68.3667268907563</v>
      </c>
      <c r="J153" s="2"/>
      <c r="L153" s="37"/>
    </row>
    <row r="154" spans="1:12" ht="31.5">
      <c r="A154" s="25"/>
      <c r="B154" s="64" t="s">
        <v>435</v>
      </c>
      <c r="C154" s="63" t="s">
        <v>130</v>
      </c>
      <c r="D154" s="6">
        <v>20</v>
      </c>
      <c r="E154" s="6"/>
      <c r="F154" s="5">
        <v>5.64</v>
      </c>
      <c r="G154" s="5"/>
      <c r="H154" s="5">
        <f t="shared" si="14"/>
        <v>-14.36</v>
      </c>
      <c r="I154" s="6">
        <f t="shared" si="15"/>
        <v>28.199999999999996</v>
      </c>
      <c r="J154" s="2"/>
      <c r="L154" s="37"/>
    </row>
    <row r="155" spans="1:12" ht="30.75" customHeight="1">
      <c r="A155" s="25" t="s">
        <v>328</v>
      </c>
      <c r="B155" s="64" t="s">
        <v>203</v>
      </c>
      <c r="C155" s="63" t="s">
        <v>204</v>
      </c>
      <c r="D155" s="6">
        <v>10</v>
      </c>
      <c r="E155" s="6"/>
      <c r="F155" s="5">
        <v>0</v>
      </c>
      <c r="G155" s="5"/>
      <c r="H155" s="5">
        <f t="shared" si="14"/>
        <v>-10</v>
      </c>
      <c r="I155" s="6">
        <f t="shared" si="15"/>
        <v>0</v>
      </c>
      <c r="J155" s="2"/>
      <c r="L155" s="37"/>
    </row>
    <row r="156" spans="1:12" ht="32.25" customHeight="1">
      <c r="A156" s="17" t="s">
        <v>418</v>
      </c>
      <c r="B156" s="64" t="s">
        <v>465</v>
      </c>
      <c r="C156" s="55" t="s">
        <v>207</v>
      </c>
      <c r="D156" s="6">
        <f>D157+D158</f>
        <v>287.2</v>
      </c>
      <c r="E156" s="6">
        <f>E157+E158</f>
        <v>119.7</v>
      </c>
      <c r="F156" s="6">
        <f>F157+F158</f>
        <v>113.56514</v>
      </c>
      <c r="G156" s="5"/>
      <c r="H156" s="5">
        <f t="shared" si="14"/>
        <v>-173.63486</v>
      </c>
      <c r="I156" s="6">
        <f t="shared" si="15"/>
        <v>39.54217966573816</v>
      </c>
      <c r="J156" s="2"/>
      <c r="L156" s="37"/>
    </row>
    <row r="157" spans="1:12" ht="60" customHeight="1">
      <c r="A157" s="17" t="s">
        <v>418</v>
      </c>
      <c r="B157" s="64" t="s">
        <v>347</v>
      </c>
      <c r="C157" s="55" t="s">
        <v>208</v>
      </c>
      <c r="D157" s="6">
        <f>42.5-3</f>
        <v>39.5</v>
      </c>
      <c r="E157" s="6">
        <v>20</v>
      </c>
      <c r="F157" s="5">
        <v>7.38015</v>
      </c>
      <c r="G157" s="5">
        <f>F157-L156</f>
        <v>7.38015</v>
      </c>
      <c r="H157" s="5">
        <f t="shared" si="14"/>
        <v>-32.11985</v>
      </c>
      <c r="I157" s="6">
        <f t="shared" si="15"/>
        <v>18.683924050632914</v>
      </c>
      <c r="J157" s="2"/>
      <c r="L157" s="37"/>
    </row>
    <row r="158" spans="1:12" ht="31.5">
      <c r="A158" s="17" t="s">
        <v>418</v>
      </c>
      <c r="B158" s="64" t="s">
        <v>339</v>
      </c>
      <c r="C158" s="55" t="s">
        <v>472</v>
      </c>
      <c r="D158" s="6">
        <v>247.7</v>
      </c>
      <c r="E158" s="6">
        <v>99.7</v>
      </c>
      <c r="F158" s="5">
        <v>106.18499</v>
      </c>
      <c r="G158" s="5">
        <f>F158-L157</f>
        <v>106.18499</v>
      </c>
      <c r="H158" s="5">
        <f t="shared" si="14"/>
        <v>-141.51501</v>
      </c>
      <c r="I158" s="6">
        <f t="shared" si="15"/>
        <v>42.868385143318534</v>
      </c>
      <c r="J158" s="2"/>
      <c r="L158" s="37"/>
    </row>
    <row r="159" spans="1:12" ht="15" customHeight="1">
      <c r="A159" s="17"/>
      <c r="B159" s="64" t="s">
        <v>466</v>
      </c>
      <c r="C159" s="55" t="s">
        <v>209</v>
      </c>
      <c r="D159" s="6">
        <f>D161+D170+D172+D173+D174+D175+D176+D177+D180+D179+D171+D162+D178</f>
        <v>441.77134</v>
      </c>
      <c r="E159" s="6">
        <f>E161+E170+E172+E173+E174+E175+E176+E177+E180+E179+E171+E162+E178</f>
        <v>0</v>
      </c>
      <c r="F159" s="6">
        <f>F161+F170+F172+F173+F174+F175+F176+F177+F180+F179+F171+F162+F178</f>
        <v>126.27186999999999</v>
      </c>
      <c r="G159" s="6" t="e">
        <f>G160+G161+G162+G163+G166+G167+G172+G173+G180+#REF!+#REF!+#REF!</f>
        <v>#REF!</v>
      </c>
      <c r="H159" s="5">
        <f t="shared" si="14"/>
        <v>-315.49947000000003</v>
      </c>
      <c r="I159" s="6">
        <f t="shared" si="15"/>
        <v>28.583083275614936</v>
      </c>
      <c r="J159" s="2"/>
      <c r="L159" s="37"/>
    </row>
    <row r="160" spans="1:12" ht="13.5" customHeight="1" hidden="1">
      <c r="A160" s="17" t="s">
        <v>329</v>
      </c>
      <c r="B160" s="48" t="s">
        <v>330</v>
      </c>
      <c r="C160" s="18" t="s">
        <v>364</v>
      </c>
      <c r="D160" s="1">
        <v>0</v>
      </c>
      <c r="E160" s="1">
        <v>60</v>
      </c>
      <c r="F160" s="4">
        <v>0</v>
      </c>
      <c r="G160" s="5">
        <f>F160-L159</f>
        <v>0</v>
      </c>
      <c r="H160" s="4">
        <f t="shared" si="14"/>
        <v>0</v>
      </c>
      <c r="I160" s="1" t="e">
        <f t="shared" si="15"/>
        <v>#DIV/0!</v>
      </c>
      <c r="J160" s="2"/>
      <c r="L160" s="2"/>
    </row>
    <row r="161" spans="1:12" ht="47.25" hidden="1">
      <c r="A161" s="17" t="s">
        <v>329</v>
      </c>
      <c r="B161" s="64" t="s">
        <v>428</v>
      </c>
      <c r="C161" s="55" t="s">
        <v>210</v>
      </c>
      <c r="D161" s="6"/>
      <c r="E161" s="6"/>
      <c r="F161" s="6"/>
      <c r="G161" s="5">
        <f>F161-L160</f>
        <v>0</v>
      </c>
      <c r="H161" s="5">
        <f t="shared" si="14"/>
        <v>0</v>
      </c>
      <c r="I161" s="6" t="e">
        <f t="shared" si="15"/>
        <v>#DIV/0!</v>
      </c>
      <c r="J161" s="2"/>
      <c r="L161" s="37"/>
    </row>
    <row r="162" spans="1:12" ht="51.75" customHeight="1" hidden="1">
      <c r="A162" s="17" t="s">
        <v>332</v>
      </c>
      <c r="B162" s="48" t="s">
        <v>428</v>
      </c>
      <c r="C162" s="7" t="s">
        <v>211</v>
      </c>
      <c r="D162" s="1"/>
      <c r="E162" s="1"/>
      <c r="F162" s="4"/>
      <c r="G162" s="5">
        <f>F162-L161</f>
        <v>0</v>
      </c>
      <c r="H162" s="4">
        <f t="shared" si="14"/>
        <v>0</v>
      </c>
      <c r="I162" s="1" t="e">
        <f t="shared" si="15"/>
        <v>#DIV/0!</v>
      </c>
      <c r="J162" s="2"/>
      <c r="L162" s="37"/>
    </row>
    <row r="163" spans="1:12" ht="15" customHeight="1" hidden="1">
      <c r="A163" s="19" t="s">
        <v>332</v>
      </c>
      <c r="B163" s="49" t="s">
        <v>338</v>
      </c>
      <c r="C163" s="26" t="s">
        <v>3</v>
      </c>
      <c r="D163" s="1">
        <v>0</v>
      </c>
      <c r="E163" s="1"/>
      <c r="F163" s="4"/>
      <c r="G163" s="5">
        <f>F163-L162</f>
        <v>0</v>
      </c>
      <c r="H163" s="4">
        <f t="shared" si="14"/>
        <v>0</v>
      </c>
      <c r="I163" s="1" t="e">
        <f t="shared" si="15"/>
        <v>#DIV/0!</v>
      </c>
      <c r="J163" s="2"/>
      <c r="L163" s="2"/>
    </row>
    <row r="164" spans="1:12" ht="12.75" customHeight="1" hidden="1">
      <c r="A164" s="17" t="s">
        <v>329</v>
      </c>
      <c r="B164" s="48" t="s">
        <v>331</v>
      </c>
      <c r="C164" s="7" t="s">
        <v>437</v>
      </c>
      <c r="D164" s="1"/>
      <c r="E164" s="1">
        <v>0</v>
      </c>
      <c r="F164" s="1"/>
      <c r="G164" s="5">
        <f>F164-L163</f>
        <v>0</v>
      </c>
      <c r="H164" s="4">
        <f t="shared" si="14"/>
        <v>0</v>
      </c>
      <c r="I164" s="1" t="e">
        <f t="shared" si="15"/>
        <v>#DIV/0!</v>
      </c>
      <c r="J164" s="2"/>
      <c r="L164" s="2"/>
    </row>
    <row r="165" spans="1:12" ht="11.25" customHeight="1" hidden="1">
      <c r="A165" s="25"/>
      <c r="B165" s="51"/>
      <c r="C165" s="7"/>
      <c r="D165" s="10"/>
      <c r="E165" s="10"/>
      <c r="F165" s="10"/>
      <c r="G165" s="8"/>
      <c r="H165" s="8"/>
      <c r="I165" s="10"/>
      <c r="J165" s="2"/>
      <c r="L165" s="2"/>
    </row>
    <row r="166" spans="1:12" ht="14.25" customHeight="1" hidden="1">
      <c r="A166" s="17" t="s">
        <v>329</v>
      </c>
      <c r="B166" s="48" t="s">
        <v>331</v>
      </c>
      <c r="C166" s="7" t="s">
        <v>5</v>
      </c>
      <c r="D166" s="6"/>
      <c r="E166" s="1"/>
      <c r="F166" s="1"/>
      <c r="G166" s="5"/>
      <c r="H166" s="4">
        <f aca="true" t="shared" si="16" ref="H166:H185">F166-D166</f>
        <v>0</v>
      </c>
      <c r="I166" s="1" t="e">
        <f aca="true" t="shared" si="17" ref="I166:I185">F166/D166*100</f>
        <v>#DIV/0!</v>
      </c>
      <c r="J166" s="2"/>
      <c r="L166" s="2"/>
    </row>
    <row r="167" spans="1:12" ht="13.5" customHeight="1" hidden="1">
      <c r="A167" s="17" t="s">
        <v>329</v>
      </c>
      <c r="B167" s="48" t="s">
        <v>331</v>
      </c>
      <c r="C167" s="7" t="s">
        <v>4</v>
      </c>
      <c r="D167" s="6"/>
      <c r="E167" s="1">
        <v>0.3</v>
      </c>
      <c r="F167" s="1"/>
      <c r="G167" s="5">
        <f>F167-L165</f>
        <v>0</v>
      </c>
      <c r="H167" s="4">
        <f t="shared" si="16"/>
        <v>0</v>
      </c>
      <c r="I167" s="1" t="e">
        <f t="shared" si="17"/>
        <v>#DIV/0!</v>
      </c>
      <c r="J167" s="2"/>
      <c r="L167" s="2"/>
    </row>
    <row r="168" spans="1:12" ht="12.75" customHeight="1" hidden="1">
      <c r="A168" s="17" t="s">
        <v>329</v>
      </c>
      <c r="B168" s="48" t="s">
        <v>331</v>
      </c>
      <c r="C168" s="7" t="s">
        <v>450</v>
      </c>
      <c r="D168" s="11">
        <v>0</v>
      </c>
      <c r="E168" s="1">
        <v>2.5</v>
      </c>
      <c r="F168" s="1">
        <v>0</v>
      </c>
      <c r="G168" s="5">
        <f>F168-L167</f>
        <v>0</v>
      </c>
      <c r="H168" s="4">
        <f t="shared" si="16"/>
        <v>0</v>
      </c>
      <c r="I168" s="1" t="e">
        <f t="shared" si="17"/>
        <v>#DIV/0!</v>
      </c>
      <c r="J168" s="2"/>
      <c r="L168" s="2"/>
    </row>
    <row r="169" spans="1:12" ht="13.5" customHeight="1" hidden="1">
      <c r="A169" s="17" t="s">
        <v>329</v>
      </c>
      <c r="B169" s="48" t="s">
        <v>331</v>
      </c>
      <c r="C169" s="7" t="s">
        <v>477</v>
      </c>
      <c r="D169" s="6"/>
      <c r="E169" s="1">
        <v>50</v>
      </c>
      <c r="F169" s="1">
        <v>0</v>
      </c>
      <c r="G169" s="5">
        <f>F169-L168</f>
        <v>0</v>
      </c>
      <c r="H169" s="4">
        <f t="shared" si="16"/>
        <v>0</v>
      </c>
      <c r="I169" s="1" t="e">
        <f t="shared" si="17"/>
        <v>#DIV/0!</v>
      </c>
      <c r="J169" s="2"/>
      <c r="L169" s="2"/>
    </row>
    <row r="170" spans="1:12" ht="12" customHeight="1" hidden="1">
      <c r="A170" s="17" t="s">
        <v>329</v>
      </c>
      <c r="B170" s="48" t="s">
        <v>330</v>
      </c>
      <c r="C170" s="7" t="s">
        <v>364</v>
      </c>
      <c r="D170" s="6"/>
      <c r="E170" s="1"/>
      <c r="F170" s="1">
        <v>0</v>
      </c>
      <c r="G170" s="5"/>
      <c r="H170" s="4">
        <f t="shared" si="16"/>
        <v>0</v>
      </c>
      <c r="I170" s="1" t="e">
        <f t="shared" si="17"/>
        <v>#DIV/0!</v>
      </c>
      <c r="J170" s="2"/>
      <c r="L170" s="2"/>
    </row>
    <row r="171" spans="1:12" ht="21" customHeight="1" hidden="1">
      <c r="A171" s="17"/>
      <c r="B171" s="48" t="s">
        <v>80</v>
      </c>
      <c r="C171" s="7" t="s">
        <v>81</v>
      </c>
      <c r="D171" s="6"/>
      <c r="E171" s="1"/>
      <c r="F171" s="1">
        <v>0</v>
      </c>
      <c r="G171" s="5"/>
      <c r="H171" s="4">
        <f t="shared" si="16"/>
        <v>0</v>
      </c>
      <c r="I171" s="1" t="e">
        <f t="shared" si="17"/>
        <v>#DIV/0!</v>
      </c>
      <c r="J171" s="2"/>
      <c r="L171" s="2"/>
    </row>
    <row r="172" spans="1:12" ht="48.75" customHeight="1">
      <c r="A172" s="17" t="s">
        <v>332</v>
      </c>
      <c r="B172" s="48" t="s">
        <v>467</v>
      </c>
      <c r="C172" s="7" t="s">
        <v>227</v>
      </c>
      <c r="D172" s="6">
        <v>119</v>
      </c>
      <c r="E172" s="1"/>
      <c r="F172" s="1">
        <v>37.7106</v>
      </c>
      <c r="G172" s="5"/>
      <c r="H172" s="4">
        <f t="shared" si="16"/>
        <v>-81.2894</v>
      </c>
      <c r="I172" s="1">
        <f t="shared" si="17"/>
        <v>31.689579831932775</v>
      </c>
      <c r="J172" s="2"/>
      <c r="L172" s="2"/>
    </row>
    <row r="173" spans="1:12" ht="63">
      <c r="A173" s="17" t="s">
        <v>332</v>
      </c>
      <c r="B173" s="48" t="s">
        <v>467</v>
      </c>
      <c r="C173" s="7" t="s">
        <v>212</v>
      </c>
      <c r="D173" s="6">
        <v>15</v>
      </c>
      <c r="E173" s="1"/>
      <c r="F173" s="1">
        <v>5.53648</v>
      </c>
      <c r="G173" s="5"/>
      <c r="H173" s="4">
        <f t="shared" si="16"/>
        <v>-9.463519999999999</v>
      </c>
      <c r="I173" s="1">
        <f t="shared" si="17"/>
        <v>36.909866666666666</v>
      </c>
      <c r="J173" s="2"/>
      <c r="L173" s="2"/>
    </row>
    <row r="174" spans="1:12" ht="63">
      <c r="A174" s="17"/>
      <c r="B174" s="48" t="s">
        <v>467</v>
      </c>
      <c r="C174" s="7" t="s">
        <v>228</v>
      </c>
      <c r="D174" s="6">
        <f>70-2.5</f>
        <v>67.5</v>
      </c>
      <c r="E174" s="1"/>
      <c r="F174" s="1">
        <v>1.65961</v>
      </c>
      <c r="G174" s="5"/>
      <c r="H174" s="4">
        <f t="shared" si="16"/>
        <v>-65.84039</v>
      </c>
      <c r="I174" s="1">
        <f t="shared" si="17"/>
        <v>2.4586814814814817</v>
      </c>
      <c r="J174" s="2"/>
      <c r="L174" s="2"/>
    </row>
    <row r="175" spans="1:12" ht="78.75">
      <c r="A175" s="17"/>
      <c r="B175" s="48" t="s">
        <v>467</v>
      </c>
      <c r="C175" s="7" t="s">
        <v>273</v>
      </c>
      <c r="D175" s="6">
        <v>15</v>
      </c>
      <c r="E175" s="1"/>
      <c r="F175" s="1">
        <v>4.99939</v>
      </c>
      <c r="G175" s="5"/>
      <c r="H175" s="4">
        <f t="shared" si="16"/>
        <v>-10.00061</v>
      </c>
      <c r="I175" s="1">
        <f t="shared" si="17"/>
        <v>33.32926666666667</v>
      </c>
      <c r="J175" s="2"/>
      <c r="L175" s="2"/>
    </row>
    <row r="176" spans="1:12" ht="63">
      <c r="A176" s="17"/>
      <c r="B176" s="48" t="s">
        <v>467</v>
      </c>
      <c r="C176" s="7" t="s">
        <v>214</v>
      </c>
      <c r="D176" s="6">
        <v>45</v>
      </c>
      <c r="E176" s="1"/>
      <c r="F176" s="1">
        <v>15.72714</v>
      </c>
      <c r="G176" s="5"/>
      <c r="H176" s="4">
        <f t="shared" si="16"/>
        <v>-29.27286</v>
      </c>
      <c r="I176" s="1">
        <f t="shared" si="17"/>
        <v>34.949200000000005</v>
      </c>
      <c r="J176" s="2"/>
      <c r="L176" s="2"/>
    </row>
    <row r="177" spans="1:12" ht="78.75">
      <c r="A177" s="17"/>
      <c r="B177" s="48" t="s">
        <v>467</v>
      </c>
      <c r="C177" s="7" t="s">
        <v>215</v>
      </c>
      <c r="D177" s="6">
        <f>32-18</f>
        <v>14</v>
      </c>
      <c r="E177" s="1"/>
      <c r="F177" s="1">
        <v>0</v>
      </c>
      <c r="G177" s="5"/>
      <c r="H177" s="4">
        <f t="shared" si="16"/>
        <v>-14</v>
      </c>
      <c r="I177" s="1">
        <f t="shared" si="17"/>
        <v>0</v>
      </c>
      <c r="J177" s="2"/>
      <c r="L177" s="2"/>
    </row>
    <row r="178" spans="1:12" ht="78.75">
      <c r="A178" s="17"/>
      <c r="B178" s="48" t="s">
        <v>467</v>
      </c>
      <c r="C178" s="7" t="s">
        <v>229</v>
      </c>
      <c r="D178" s="6">
        <f>110-110</f>
        <v>0</v>
      </c>
      <c r="E178" s="1"/>
      <c r="F178" s="1">
        <v>0</v>
      </c>
      <c r="G178" s="5"/>
      <c r="H178" s="4">
        <f t="shared" si="16"/>
        <v>0</v>
      </c>
      <c r="I178" s="1" t="e">
        <f t="shared" si="17"/>
        <v>#DIV/0!</v>
      </c>
      <c r="J178" s="2"/>
      <c r="L178" s="2"/>
    </row>
    <row r="179" spans="1:12" ht="78.75">
      <c r="A179" s="17"/>
      <c r="B179" s="48" t="s">
        <v>467</v>
      </c>
      <c r="C179" s="7" t="s">
        <v>79</v>
      </c>
      <c r="D179" s="6">
        <v>34.6</v>
      </c>
      <c r="E179" s="1"/>
      <c r="F179" s="1">
        <v>0</v>
      </c>
      <c r="G179" s="5"/>
      <c r="H179" s="4">
        <f t="shared" si="16"/>
        <v>-34.6</v>
      </c>
      <c r="I179" s="1">
        <f t="shared" si="17"/>
        <v>0</v>
      </c>
      <c r="J179" s="2"/>
      <c r="L179" s="2"/>
    </row>
    <row r="180" spans="1:12" ht="14.25" customHeight="1">
      <c r="A180" s="17" t="s">
        <v>332</v>
      </c>
      <c r="B180" s="48" t="s">
        <v>331</v>
      </c>
      <c r="C180" s="7" t="s">
        <v>216</v>
      </c>
      <c r="D180" s="6">
        <v>131.67134</v>
      </c>
      <c r="E180" s="1"/>
      <c r="F180" s="1">
        <v>60.63865</v>
      </c>
      <c r="G180" s="5"/>
      <c r="H180" s="4">
        <f t="shared" si="16"/>
        <v>-71.03268999999999</v>
      </c>
      <c r="I180" s="1">
        <f t="shared" si="17"/>
        <v>46.0530362947624</v>
      </c>
      <c r="J180" s="2"/>
      <c r="L180" s="2"/>
    </row>
    <row r="181" spans="1:12" ht="13.5" customHeight="1" hidden="1">
      <c r="A181" s="17"/>
      <c r="B181" s="48" t="s">
        <v>467</v>
      </c>
      <c r="C181" s="7" t="s">
        <v>16</v>
      </c>
      <c r="D181" s="6"/>
      <c r="E181" s="1"/>
      <c r="F181" s="1">
        <v>0</v>
      </c>
      <c r="G181" s="5"/>
      <c r="H181" s="4">
        <f t="shared" si="16"/>
        <v>0</v>
      </c>
      <c r="I181" s="1" t="e">
        <f t="shared" si="17"/>
        <v>#DIV/0!</v>
      </c>
      <c r="J181" s="2"/>
      <c r="L181" s="2"/>
    </row>
    <row r="182" spans="1:12" ht="15.75">
      <c r="A182" s="90"/>
      <c r="B182" s="64"/>
      <c r="C182" s="55" t="s">
        <v>419</v>
      </c>
      <c r="D182" s="6">
        <f>D12+D22+D23+D40+D115+D122+D129+D134+D140+D143+D149+D156+D159</f>
        <v>124100.01264</v>
      </c>
      <c r="E182" s="6">
        <f>E12+E22+E23+E40+E115+E122+E129+E134+E140+E143+E149+E156+E159</f>
        <v>36216.49999999999</v>
      </c>
      <c r="F182" s="6">
        <f>F12+F22+F23+F40+F115+F122+F129+F134+F140+F143+F149+F156+F159</f>
        <v>48123.57093</v>
      </c>
      <c r="G182" s="6" t="e">
        <f>G12+G23+G38+G40+G115+G122+G129+G134+G139+G141+G143+G147+G151+G157+G158+G160+G161+G163+G162+G164+G165+G167+G168+G169</f>
        <v>#REF!</v>
      </c>
      <c r="H182" s="5">
        <f t="shared" si="16"/>
        <v>-75976.44171</v>
      </c>
      <c r="I182" s="6">
        <f t="shared" si="17"/>
        <v>38.77805481744873</v>
      </c>
      <c r="J182" s="2"/>
      <c r="L182" s="37"/>
    </row>
    <row r="183" spans="1:12" ht="18.75" customHeight="1">
      <c r="A183" s="90" t="s">
        <v>332</v>
      </c>
      <c r="B183" s="64" t="s">
        <v>333</v>
      </c>
      <c r="C183" s="55" t="s">
        <v>420</v>
      </c>
      <c r="D183" s="6">
        <v>42313.4</v>
      </c>
      <c r="E183" s="6">
        <v>10216.7</v>
      </c>
      <c r="F183" s="5">
        <v>16336.97247</v>
      </c>
      <c r="G183" s="5">
        <f>F183-L182</f>
        <v>16336.97247</v>
      </c>
      <c r="H183" s="5">
        <f t="shared" si="16"/>
        <v>-25976.42753</v>
      </c>
      <c r="I183" s="6">
        <f t="shared" si="17"/>
        <v>38.6094534355547</v>
      </c>
      <c r="J183" s="2"/>
      <c r="L183" s="2"/>
    </row>
    <row r="184" spans="1:12" ht="33.75" customHeight="1">
      <c r="A184" s="90"/>
      <c r="B184" s="64" t="s">
        <v>131</v>
      </c>
      <c r="C184" s="55" t="s">
        <v>404</v>
      </c>
      <c r="D184" s="6">
        <v>135.012</v>
      </c>
      <c r="E184" s="6"/>
      <c r="F184" s="5">
        <v>135.01154</v>
      </c>
      <c r="G184" s="5"/>
      <c r="H184" s="5">
        <f t="shared" si="16"/>
        <v>-0.00046000000000390173</v>
      </c>
      <c r="I184" s="6">
        <f t="shared" si="17"/>
        <v>99.99965928954462</v>
      </c>
      <c r="J184" s="2"/>
      <c r="L184" s="2"/>
    </row>
    <row r="185" spans="1:12" ht="15.75">
      <c r="A185" s="90"/>
      <c r="B185" s="90"/>
      <c r="C185" s="55" t="s">
        <v>289</v>
      </c>
      <c r="D185" s="6">
        <f>SUM(D182:D184)</f>
        <v>166548.42463999998</v>
      </c>
      <c r="E185" s="6">
        <f>SUM(E182:E184)</f>
        <v>46433.2</v>
      </c>
      <c r="F185" s="6">
        <f>SUM(F182:F184)</f>
        <v>64595.55494</v>
      </c>
      <c r="G185" s="6" t="e">
        <f>G182+G183</f>
        <v>#REF!</v>
      </c>
      <c r="H185" s="5">
        <f t="shared" si="16"/>
        <v>-101952.86969999998</v>
      </c>
      <c r="I185" s="6">
        <f t="shared" si="17"/>
        <v>38.78484895886915</v>
      </c>
      <c r="J185" s="58"/>
      <c r="L185" s="29"/>
    </row>
    <row r="186" spans="1:12" ht="15.75">
      <c r="A186" s="111"/>
      <c r="B186" s="111"/>
      <c r="C186" s="111"/>
      <c r="D186" s="111"/>
      <c r="E186" s="111"/>
      <c r="F186" s="111"/>
      <c r="G186" s="111"/>
      <c r="H186" s="111"/>
      <c r="I186" s="112"/>
      <c r="J186" s="58"/>
      <c r="L186" s="29"/>
    </row>
    <row r="187" spans="1:12" ht="15.75">
      <c r="A187" s="91"/>
      <c r="B187" s="92"/>
      <c r="C187" s="93" t="s">
        <v>475</v>
      </c>
      <c r="D187" s="71">
        <f>D188+D190+D201+D205+D218+D224+D226+D230+D234+D238+D241+D244+D250+D189</f>
        <v>26384.73657</v>
      </c>
      <c r="E187" s="71">
        <f>E188+E190+E201+E205+E218+E224+E226+E230+E234+E238+E241+E244+E250+E189</f>
        <v>116</v>
      </c>
      <c r="F187" s="71">
        <f>F188+F190+F201+F205+F218+F224+F226+F230+F234+F238+F241+F244+F250+F189</f>
        <v>4844.4775899999995</v>
      </c>
      <c r="G187" s="13"/>
      <c r="H187" s="5">
        <f aca="true" t="shared" si="18" ref="H187:H192">F187-D187</f>
        <v>-21540.258980000002</v>
      </c>
      <c r="I187" s="6">
        <f aca="true" t="shared" si="19" ref="I187:I192">F187/D187*100</f>
        <v>18.36090944909517</v>
      </c>
      <c r="J187" s="58"/>
      <c r="L187" s="29"/>
    </row>
    <row r="188" spans="1:12" ht="30.75" customHeight="1">
      <c r="A188" s="94"/>
      <c r="B188" s="95" t="s">
        <v>237</v>
      </c>
      <c r="C188" s="96" t="s">
        <v>90</v>
      </c>
      <c r="D188" s="71">
        <v>653.01589</v>
      </c>
      <c r="E188" s="71"/>
      <c r="F188" s="71">
        <v>72.91539</v>
      </c>
      <c r="G188" s="13"/>
      <c r="H188" s="5">
        <f t="shared" si="18"/>
        <v>-580.1005</v>
      </c>
      <c r="I188" s="6">
        <f t="shared" si="19"/>
        <v>11.165944216150697</v>
      </c>
      <c r="J188" s="58"/>
      <c r="L188" s="29"/>
    </row>
    <row r="189" spans="1:12" ht="72" customHeight="1">
      <c r="A189" s="94"/>
      <c r="B189" s="95" t="s">
        <v>230</v>
      </c>
      <c r="C189" s="96" t="s">
        <v>236</v>
      </c>
      <c r="D189" s="76">
        <v>60</v>
      </c>
      <c r="E189" s="76"/>
      <c r="F189" s="76">
        <v>0</v>
      </c>
      <c r="G189" s="101"/>
      <c r="H189" s="5">
        <f t="shared" si="18"/>
        <v>-60</v>
      </c>
      <c r="I189" s="73">
        <f t="shared" si="19"/>
        <v>0</v>
      </c>
      <c r="J189" s="58"/>
      <c r="L189" s="29"/>
    </row>
    <row r="190" spans="1:12" ht="34.5" customHeight="1">
      <c r="A190" s="97"/>
      <c r="B190" s="102" t="s">
        <v>298</v>
      </c>
      <c r="C190" s="98" t="s">
        <v>458</v>
      </c>
      <c r="D190" s="76">
        <f>D191+D193+D196+D194+D199+D192+D195+D197+D198+D200</f>
        <v>1996.8868799999998</v>
      </c>
      <c r="E190" s="76">
        <f>E191+E193+E196+E194+E199+E192+E195+E197+E198+E200</f>
        <v>0</v>
      </c>
      <c r="F190" s="76">
        <f>F191+F193+F196+F194+F199+F192+F195+F197+F198+F200</f>
        <v>531.97588</v>
      </c>
      <c r="G190" s="68"/>
      <c r="H190" s="68">
        <f t="shared" si="18"/>
        <v>-1464.9109999999998</v>
      </c>
      <c r="I190" s="73">
        <f t="shared" si="19"/>
        <v>26.640261164918865</v>
      </c>
      <c r="J190" s="58"/>
      <c r="L190" s="29"/>
    </row>
    <row r="191" spans="1:12" ht="31.5">
      <c r="A191" s="97"/>
      <c r="B191" s="75" t="s">
        <v>356</v>
      </c>
      <c r="C191" s="63" t="s">
        <v>284</v>
      </c>
      <c r="D191" s="76">
        <v>1260.37449</v>
      </c>
      <c r="E191" s="76"/>
      <c r="F191" s="76">
        <v>66.01349</v>
      </c>
      <c r="G191" s="68"/>
      <c r="H191" s="68">
        <f t="shared" si="18"/>
        <v>-1194.3609999999999</v>
      </c>
      <c r="I191" s="73">
        <f t="shared" si="19"/>
        <v>5.237609180744368</v>
      </c>
      <c r="J191" s="58"/>
      <c r="L191" s="29"/>
    </row>
    <row r="192" spans="1:12" ht="80.25" customHeight="1">
      <c r="A192" s="27"/>
      <c r="B192" s="75" t="s">
        <v>356</v>
      </c>
      <c r="C192" s="63" t="s">
        <v>82</v>
      </c>
      <c r="D192" s="76">
        <v>0.31044</v>
      </c>
      <c r="E192" s="76"/>
      <c r="F192" s="76">
        <v>0.31044</v>
      </c>
      <c r="G192" s="68"/>
      <c r="H192" s="68">
        <f t="shared" si="18"/>
        <v>0</v>
      </c>
      <c r="I192" s="73">
        <f t="shared" si="19"/>
        <v>100</v>
      </c>
      <c r="J192" s="58"/>
      <c r="L192" s="29"/>
    </row>
    <row r="193" spans="1:12" ht="50.25" customHeight="1">
      <c r="A193" s="27"/>
      <c r="B193" s="75" t="s">
        <v>356</v>
      </c>
      <c r="C193" s="63" t="s">
        <v>86</v>
      </c>
      <c r="D193" s="76">
        <v>38.391</v>
      </c>
      <c r="E193" s="76"/>
      <c r="F193" s="76">
        <v>0</v>
      </c>
      <c r="G193" s="68"/>
      <c r="H193" s="68">
        <f>F193-D193</f>
        <v>-38.391</v>
      </c>
      <c r="I193" s="73">
        <f>F193/D193*100</f>
        <v>0</v>
      </c>
      <c r="J193" s="58"/>
      <c r="L193" s="29"/>
    </row>
    <row r="194" spans="1:12" ht="32.25" customHeight="1">
      <c r="A194" s="27"/>
      <c r="B194" s="75" t="s">
        <v>358</v>
      </c>
      <c r="C194" s="63" t="s">
        <v>285</v>
      </c>
      <c r="D194" s="76">
        <v>582.28567</v>
      </c>
      <c r="E194" s="76"/>
      <c r="F194" s="76">
        <v>355.51567</v>
      </c>
      <c r="G194" s="68"/>
      <c r="H194" s="68">
        <f aca="true" t="shared" si="20" ref="H194:H225">F194-D194</f>
        <v>-226.76999999999998</v>
      </c>
      <c r="I194" s="73">
        <f aca="true" t="shared" si="21" ref="I194:I225">F194/D194*100</f>
        <v>61.05519821567994</v>
      </c>
      <c r="J194" s="58"/>
      <c r="L194" s="29"/>
    </row>
    <row r="195" spans="1:12" ht="80.25" customHeight="1">
      <c r="A195" s="27"/>
      <c r="B195" s="75" t="s">
        <v>358</v>
      </c>
      <c r="C195" s="63" t="s">
        <v>82</v>
      </c>
      <c r="D195" s="76">
        <v>79.77628</v>
      </c>
      <c r="E195" s="76"/>
      <c r="F195" s="76">
        <v>79.77628</v>
      </c>
      <c r="G195" s="68"/>
      <c r="H195" s="68">
        <f t="shared" si="20"/>
        <v>0</v>
      </c>
      <c r="I195" s="73">
        <f t="shared" si="21"/>
        <v>100</v>
      </c>
      <c r="J195" s="58"/>
      <c r="L195" s="29"/>
    </row>
    <row r="196" spans="1:12" ht="0.75" customHeight="1" hidden="1">
      <c r="A196" s="27"/>
      <c r="B196" s="75" t="s">
        <v>358</v>
      </c>
      <c r="C196" s="63" t="s">
        <v>86</v>
      </c>
      <c r="D196" s="76"/>
      <c r="E196" s="76"/>
      <c r="F196" s="76"/>
      <c r="G196" s="68"/>
      <c r="H196" s="68">
        <f t="shared" si="20"/>
        <v>0</v>
      </c>
      <c r="I196" s="73" t="e">
        <f t="shared" si="21"/>
        <v>#DIV/0!</v>
      </c>
      <c r="J196" s="58"/>
      <c r="L196" s="29"/>
    </row>
    <row r="197" spans="1:12" ht="20.25" customHeight="1">
      <c r="A197" s="27"/>
      <c r="B197" s="75" t="s">
        <v>375</v>
      </c>
      <c r="C197" s="63" t="s">
        <v>46</v>
      </c>
      <c r="D197" s="76">
        <v>9.98</v>
      </c>
      <c r="E197" s="76"/>
      <c r="F197" s="76">
        <v>9.98</v>
      </c>
      <c r="G197" s="68"/>
      <c r="H197" s="69">
        <f t="shared" si="20"/>
        <v>0</v>
      </c>
      <c r="I197" s="70">
        <f t="shared" si="21"/>
        <v>100</v>
      </c>
      <c r="J197" s="58"/>
      <c r="L197" s="29"/>
    </row>
    <row r="198" spans="1:12" ht="31.5">
      <c r="A198" s="27"/>
      <c r="B198" s="75" t="s">
        <v>376</v>
      </c>
      <c r="C198" s="63" t="s">
        <v>92</v>
      </c>
      <c r="D198" s="76">
        <v>7.04</v>
      </c>
      <c r="E198" s="76"/>
      <c r="F198" s="76">
        <v>7.04</v>
      </c>
      <c r="G198" s="68"/>
      <c r="H198" s="69">
        <f t="shared" si="20"/>
        <v>0</v>
      </c>
      <c r="I198" s="70">
        <f t="shared" si="21"/>
        <v>100</v>
      </c>
      <c r="J198" s="58"/>
      <c r="L198" s="29"/>
    </row>
    <row r="199" spans="1:12" ht="51" customHeight="1">
      <c r="A199" s="27"/>
      <c r="B199" s="66" t="s">
        <v>377</v>
      </c>
      <c r="C199" s="18" t="s">
        <v>286</v>
      </c>
      <c r="D199" s="67">
        <v>13.34</v>
      </c>
      <c r="E199" s="67"/>
      <c r="F199" s="67">
        <v>13.34</v>
      </c>
      <c r="G199" s="68"/>
      <c r="H199" s="69">
        <f t="shared" si="20"/>
        <v>0</v>
      </c>
      <c r="I199" s="70">
        <f t="shared" si="21"/>
        <v>100</v>
      </c>
      <c r="J199" s="58"/>
      <c r="L199" s="29"/>
    </row>
    <row r="200" spans="1:12" ht="31.5">
      <c r="A200" s="27"/>
      <c r="B200" s="66" t="s">
        <v>434</v>
      </c>
      <c r="C200" s="18" t="s">
        <v>108</v>
      </c>
      <c r="D200" s="67">
        <v>5.389</v>
      </c>
      <c r="E200" s="67"/>
      <c r="F200" s="67">
        <v>0</v>
      </c>
      <c r="G200" s="68"/>
      <c r="H200" s="69">
        <f t="shared" si="20"/>
        <v>-5.389</v>
      </c>
      <c r="I200" s="70">
        <f t="shared" si="21"/>
        <v>0</v>
      </c>
      <c r="J200" s="58"/>
      <c r="L200" s="29"/>
    </row>
    <row r="201" spans="1:12" ht="15.75">
      <c r="A201" s="27"/>
      <c r="B201" s="75" t="s">
        <v>83</v>
      </c>
      <c r="C201" s="74" t="s">
        <v>283</v>
      </c>
      <c r="D201" s="76">
        <f>D202+D204+D203</f>
        <v>199.56033000000002</v>
      </c>
      <c r="E201" s="76">
        <f>E202+E204</f>
        <v>0</v>
      </c>
      <c r="F201" s="76">
        <f>F202+F204+F203</f>
        <v>199.56034</v>
      </c>
      <c r="G201" s="68"/>
      <c r="H201" s="69">
        <f t="shared" si="20"/>
        <v>9.999999974752427E-06</v>
      </c>
      <c r="I201" s="70">
        <f t="shared" si="21"/>
        <v>100.00000501101596</v>
      </c>
      <c r="J201" s="58"/>
      <c r="L201" s="29"/>
    </row>
    <row r="202" spans="1:12" ht="47.25">
      <c r="A202" s="27"/>
      <c r="B202" s="75" t="s">
        <v>365</v>
      </c>
      <c r="C202" s="74" t="s">
        <v>87</v>
      </c>
      <c r="D202" s="76">
        <v>63.32148</v>
      </c>
      <c r="E202" s="76"/>
      <c r="F202" s="76">
        <v>63.32149</v>
      </c>
      <c r="G202" s="68"/>
      <c r="H202" s="69">
        <f t="shared" si="20"/>
        <v>9.999999996068709E-06</v>
      </c>
      <c r="I202" s="70">
        <f t="shared" si="21"/>
        <v>100.00001579242937</v>
      </c>
      <c r="J202" s="58"/>
      <c r="L202" s="29"/>
    </row>
    <row r="203" spans="1:12" ht="63" hidden="1">
      <c r="A203" s="27"/>
      <c r="B203" s="75" t="s">
        <v>19</v>
      </c>
      <c r="C203" s="55" t="s">
        <v>238</v>
      </c>
      <c r="D203" s="76"/>
      <c r="E203" s="76"/>
      <c r="F203" s="76"/>
      <c r="G203" s="68"/>
      <c r="H203" s="68">
        <f t="shared" si="20"/>
        <v>0</v>
      </c>
      <c r="I203" s="73" t="e">
        <f t="shared" si="21"/>
        <v>#DIV/0!</v>
      </c>
      <c r="J203" s="58"/>
      <c r="L203" s="29"/>
    </row>
    <row r="204" spans="1:12" ht="78.75">
      <c r="A204" s="27"/>
      <c r="B204" s="75" t="s">
        <v>312</v>
      </c>
      <c r="C204" s="63" t="s">
        <v>82</v>
      </c>
      <c r="D204" s="76">
        <v>136.23885</v>
      </c>
      <c r="E204" s="76"/>
      <c r="F204" s="76">
        <v>136.23885</v>
      </c>
      <c r="G204" s="68"/>
      <c r="H204" s="68">
        <f t="shared" si="20"/>
        <v>0</v>
      </c>
      <c r="I204" s="73">
        <f t="shared" si="21"/>
        <v>100</v>
      </c>
      <c r="J204" s="58"/>
      <c r="L204" s="29"/>
    </row>
    <row r="205" spans="1:12" ht="15.75">
      <c r="A205" s="27"/>
      <c r="B205" s="64" t="s">
        <v>317</v>
      </c>
      <c r="C205" s="74" t="s">
        <v>287</v>
      </c>
      <c r="D205" s="71">
        <f>D206+D207+D208+D209+D210+D211+D212+D213+D214+D215+D216+D217</f>
        <v>12532.62917</v>
      </c>
      <c r="E205" s="71">
        <f>E206+E207+E208+E209+E211+E212+E213+E214+E215+E216</f>
        <v>0</v>
      </c>
      <c r="F205" s="71">
        <f>F206+F207+F208+F209+F211+F212+F213+F214+F215+F216+F210</f>
        <v>1810.6399299999998</v>
      </c>
      <c r="G205" s="5"/>
      <c r="H205" s="68">
        <f t="shared" si="20"/>
        <v>-10721.98924</v>
      </c>
      <c r="I205" s="73">
        <f t="shared" si="21"/>
        <v>14.447406888366423</v>
      </c>
      <c r="J205" s="58"/>
      <c r="L205" s="29"/>
    </row>
    <row r="206" spans="1:12" ht="63">
      <c r="A206" s="27"/>
      <c r="B206" s="48" t="s">
        <v>319</v>
      </c>
      <c r="C206" s="7" t="s">
        <v>50</v>
      </c>
      <c r="D206" s="61">
        <v>1010.28</v>
      </c>
      <c r="E206" s="13"/>
      <c r="F206" s="4">
        <v>437.78678</v>
      </c>
      <c r="G206" s="5"/>
      <c r="H206" s="69">
        <f t="shared" si="20"/>
        <v>-572.49322</v>
      </c>
      <c r="I206" s="70">
        <f t="shared" si="21"/>
        <v>43.33321257473176</v>
      </c>
      <c r="J206" s="58"/>
      <c r="L206" s="29"/>
    </row>
    <row r="207" spans="1:12" ht="69" customHeight="1">
      <c r="A207" s="27"/>
      <c r="B207" s="64" t="s">
        <v>319</v>
      </c>
      <c r="C207" s="7" t="s">
        <v>49</v>
      </c>
      <c r="D207" s="71">
        <v>17.57387</v>
      </c>
      <c r="E207" s="13"/>
      <c r="F207" s="5">
        <v>12.57387</v>
      </c>
      <c r="G207" s="5"/>
      <c r="H207" s="68">
        <f t="shared" si="20"/>
        <v>-5</v>
      </c>
      <c r="I207" s="73">
        <f t="shared" si="21"/>
        <v>71.54866856304274</v>
      </c>
      <c r="J207" s="58"/>
      <c r="L207" s="29"/>
    </row>
    <row r="208" spans="1:12" ht="78.75">
      <c r="A208" s="27"/>
      <c r="B208" s="64" t="s">
        <v>319</v>
      </c>
      <c r="C208" s="63" t="s">
        <v>82</v>
      </c>
      <c r="D208" s="71">
        <v>415.61172</v>
      </c>
      <c r="E208" s="13"/>
      <c r="F208" s="5">
        <v>415.61172</v>
      </c>
      <c r="G208" s="5"/>
      <c r="H208" s="68">
        <f t="shared" si="20"/>
        <v>0</v>
      </c>
      <c r="I208" s="73">
        <f t="shared" si="21"/>
        <v>100</v>
      </c>
      <c r="J208" s="58"/>
      <c r="L208" s="29"/>
    </row>
    <row r="209" spans="1:12" ht="47.25">
      <c r="A209" s="27"/>
      <c r="B209" s="64" t="s">
        <v>40</v>
      </c>
      <c r="C209" s="55" t="s">
        <v>75</v>
      </c>
      <c r="D209" s="71">
        <v>463</v>
      </c>
      <c r="E209" s="13"/>
      <c r="F209" s="5">
        <v>50</v>
      </c>
      <c r="G209" s="5"/>
      <c r="H209" s="68">
        <f t="shared" si="20"/>
        <v>-413</v>
      </c>
      <c r="I209" s="73">
        <f t="shared" si="21"/>
        <v>10.799136069114471</v>
      </c>
      <c r="J209" s="58"/>
      <c r="L209" s="29"/>
    </row>
    <row r="210" spans="1:12" ht="47.25">
      <c r="A210" s="27"/>
      <c r="B210" s="64" t="s">
        <v>40</v>
      </c>
      <c r="C210" s="55" t="s">
        <v>91</v>
      </c>
      <c r="D210" s="71">
        <v>427.99884</v>
      </c>
      <c r="E210" s="13"/>
      <c r="F210" s="5">
        <v>285.31918</v>
      </c>
      <c r="G210" s="5"/>
      <c r="H210" s="68">
        <f t="shared" si="20"/>
        <v>-142.67965999999996</v>
      </c>
      <c r="I210" s="73">
        <f t="shared" si="21"/>
        <v>66.66354048996956</v>
      </c>
      <c r="J210" s="58"/>
      <c r="L210" s="29"/>
    </row>
    <row r="211" spans="1:12" ht="78.75">
      <c r="A211" s="27"/>
      <c r="B211" s="64" t="s">
        <v>40</v>
      </c>
      <c r="C211" s="63" t="s">
        <v>82</v>
      </c>
      <c r="D211" s="71">
        <v>424.19606</v>
      </c>
      <c r="E211" s="13"/>
      <c r="F211" s="5">
        <v>424.19606</v>
      </c>
      <c r="G211" s="5"/>
      <c r="H211" s="68">
        <f t="shared" si="20"/>
        <v>0</v>
      </c>
      <c r="I211" s="73">
        <f t="shared" si="21"/>
        <v>100</v>
      </c>
      <c r="J211" s="58"/>
      <c r="L211" s="29"/>
    </row>
    <row r="212" spans="1:12" ht="78.75">
      <c r="A212" s="27"/>
      <c r="B212" s="48" t="s">
        <v>15</v>
      </c>
      <c r="C212" s="55" t="s">
        <v>51</v>
      </c>
      <c r="D212" s="12">
        <v>800</v>
      </c>
      <c r="E212" s="13"/>
      <c r="F212" s="4">
        <v>0</v>
      </c>
      <c r="G212" s="5"/>
      <c r="H212" s="69">
        <f t="shared" si="20"/>
        <v>-800</v>
      </c>
      <c r="I212" s="70">
        <f t="shared" si="21"/>
        <v>0</v>
      </c>
      <c r="J212" s="58"/>
      <c r="L212" s="29"/>
    </row>
    <row r="213" spans="1:12" ht="24.75" customHeight="1" hidden="1">
      <c r="A213" s="27"/>
      <c r="B213" s="48" t="s">
        <v>15</v>
      </c>
      <c r="C213" s="55" t="s">
        <v>88</v>
      </c>
      <c r="D213" s="12">
        <v>0</v>
      </c>
      <c r="E213" s="13"/>
      <c r="F213" s="4">
        <v>0</v>
      </c>
      <c r="G213" s="5"/>
      <c r="H213" s="69">
        <f t="shared" si="20"/>
        <v>0</v>
      </c>
      <c r="I213" s="70" t="e">
        <f t="shared" si="21"/>
        <v>#DIV/0!</v>
      </c>
      <c r="J213" s="58"/>
      <c r="L213" s="29"/>
    </row>
    <row r="214" spans="1:12" ht="47.25">
      <c r="A214" s="27"/>
      <c r="B214" s="48" t="s">
        <v>321</v>
      </c>
      <c r="C214" s="7" t="s">
        <v>52</v>
      </c>
      <c r="D214" s="12">
        <v>294.4</v>
      </c>
      <c r="E214" s="13"/>
      <c r="F214" s="4">
        <v>5.58364</v>
      </c>
      <c r="G214" s="5"/>
      <c r="H214" s="69">
        <f t="shared" si="20"/>
        <v>-288.81636</v>
      </c>
      <c r="I214" s="70">
        <f t="shared" si="21"/>
        <v>1.896616847826087</v>
      </c>
      <c r="J214" s="58"/>
      <c r="L214" s="29"/>
    </row>
    <row r="215" spans="1:12" ht="78.75">
      <c r="A215" s="27"/>
      <c r="B215" s="64" t="s">
        <v>321</v>
      </c>
      <c r="C215" s="63" t="s">
        <v>82</v>
      </c>
      <c r="D215" s="71">
        <v>129.00614</v>
      </c>
      <c r="E215" s="13"/>
      <c r="F215" s="5">
        <v>129.00614</v>
      </c>
      <c r="G215" s="5"/>
      <c r="H215" s="68">
        <f t="shared" si="20"/>
        <v>0</v>
      </c>
      <c r="I215" s="73">
        <f t="shared" si="21"/>
        <v>100</v>
      </c>
      <c r="J215" s="58"/>
      <c r="L215" s="29"/>
    </row>
    <row r="216" spans="1:12" ht="78.75">
      <c r="A216" s="27"/>
      <c r="B216" s="64" t="s">
        <v>23</v>
      </c>
      <c r="C216" s="55" t="s">
        <v>84</v>
      </c>
      <c r="D216" s="71">
        <v>50.56254</v>
      </c>
      <c r="E216" s="13"/>
      <c r="F216" s="5">
        <v>50.56254</v>
      </c>
      <c r="G216" s="5"/>
      <c r="H216" s="68">
        <f t="shared" si="20"/>
        <v>0</v>
      </c>
      <c r="I216" s="73">
        <f t="shared" si="21"/>
        <v>100</v>
      </c>
      <c r="J216" s="58"/>
      <c r="L216" s="29"/>
    </row>
    <row r="217" spans="1:12" ht="63">
      <c r="A217" s="27"/>
      <c r="B217" s="64" t="s">
        <v>93</v>
      </c>
      <c r="C217" s="55" t="s">
        <v>94</v>
      </c>
      <c r="D217" s="71">
        <v>8500</v>
      </c>
      <c r="E217" s="13"/>
      <c r="F217" s="5">
        <v>0</v>
      </c>
      <c r="G217" s="5"/>
      <c r="H217" s="68">
        <f t="shared" si="20"/>
        <v>-8500</v>
      </c>
      <c r="I217" s="73">
        <f t="shared" si="21"/>
        <v>0</v>
      </c>
      <c r="J217" s="58"/>
      <c r="L217" s="29"/>
    </row>
    <row r="218" spans="1:12" ht="31.5" customHeight="1">
      <c r="A218" s="22" t="s">
        <v>328</v>
      </c>
      <c r="B218" s="72" t="s">
        <v>335</v>
      </c>
      <c r="C218" s="63" t="s">
        <v>242</v>
      </c>
      <c r="D218" s="71">
        <f>D219+D220+D223+D222+D221</f>
        <v>290.269</v>
      </c>
      <c r="E218" s="71">
        <f>E219+E220+E223+E222+E221</f>
        <v>0</v>
      </c>
      <c r="F218" s="71">
        <f>F219+F220+F223+F222+F221</f>
        <v>105.598</v>
      </c>
      <c r="G218" s="5" t="e">
        <f>F218-#REF!</f>
        <v>#REF!</v>
      </c>
      <c r="H218" s="68">
        <f t="shared" si="20"/>
        <v>-184.671</v>
      </c>
      <c r="I218" s="73">
        <f t="shared" si="21"/>
        <v>36.379358457155256</v>
      </c>
      <c r="J218" s="58"/>
      <c r="L218" s="29"/>
    </row>
    <row r="219" spans="1:12" ht="20.25" customHeight="1">
      <c r="A219" s="17" t="s">
        <v>343</v>
      </c>
      <c r="B219" s="48" t="s">
        <v>444</v>
      </c>
      <c r="C219" s="24" t="s">
        <v>243</v>
      </c>
      <c r="D219" s="12">
        <v>24.7</v>
      </c>
      <c r="E219" s="13"/>
      <c r="F219" s="4">
        <v>4.7</v>
      </c>
      <c r="G219" s="5"/>
      <c r="H219" s="69">
        <f t="shared" si="20"/>
        <v>-20</v>
      </c>
      <c r="I219" s="70">
        <f t="shared" si="21"/>
        <v>19.028340080971663</v>
      </c>
      <c r="J219" s="58"/>
      <c r="L219" s="29"/>
    </row>
    <row r="220" spans="1:12" ht="17.25" customHeight="1">
      <c r="A220" s="17" t="s">
        <v>359</v>
      </c>
      <c r="B220" s="48" t="s">
        <v>445</v>
      </c>
      <c r="C220" s="24" t="s">
        <v>244</v>
      </c>
      <c r="D220" s="12">
        <v>11.369</v>
      </c>
      <c r="E220" s="13"/>
      <c r="F220" s="4">
        <v>6.369</v>
      </c>
      <c r="G220" s="5"/>
      <c r="H220" s="69">
        <f t="shared" si="20"/>
        <v>-5</v>
      </c>
      <c r="I220" s="70">
        <f t="shared" si="21"/>
        <v>56.0207582021286</v>
      </c>
      <c r="J220" s="58"/>
      <c r="L220" s="29"/>
    </row>
    <row r="221" spans="1:12" ht="36" customHeight="1">
      <c r="A221" s="17"/>
      <c r="B221" s="48" t="s">
        <v>446</v>
      </c>
      <c r="C221" s="24" t="s">
        <v>205</v>
      </c>
      <c r="D221" s="12">
        <v>239.2</v>
      </c>
      <c r="E221" s="13"/>
      <c r="F221" s="4">
        <v>85.854</v>
      </c>
      <c r="G221" s="5"/>
      <c r="H221" s="69">
        <f t="shared" si="20"/>
        <v>-153.346</v>
      </c>
      <c r="I221" s="70">
        <f t="shared" si="21"/>
        <v>35.892140468227424</v>
      </c>
      <c r="J221" s="58"/>
      <c r="L221" s="29"/>
    </row>
    <row r="222" spans="1:12" ht="56.25" customHeight="1">
      <c r="A222" s="17"/>
      <c r="B222" s="48" t="s">
        <v>424</v>
      </c>
      <c r="C222" s="24" t="s">
        <v>245</v>
      </c>
      <c r="D222" s="12">
        <v>5</v>
      </c>
      <c r="E222" s="13"/>
      <c r="F222" s="4">
        <f>8.646-1.5</f>
        <v>7.146000000000001</v>
      </c>
      <c r="G222" s="5"/>
      <c r="H222" s="69">
        <f t="shared" si="20"/>
        <v>2.146000000000001</v>
      </c>
      <c r="I222" s="70">
        <f t="shared" si="21"/>
        <v>142.92000000000002</v>
      </c>
      <c r="J222" s="58"/>
      <c r="L222" s="29"/>
    </row>
    <row r="223" spans="1:12" ht="31.5" customHeight="1">
      <c r="A223" s="17" t="s">
        <v>359</v>
      </c>
      <c r="B223" s="48" t="s">
        <v>424</v>
      </c>
      <c r="C223" s="24" t="s">
        <v>246</v>
      </c>
      <c r="D223" s="12">
        <v>10</v>
      </c>
      <c r="E223" s="13"/>
      <c r="F223" s="4">
        <v>1.529</v>
      </c>
      <c r="G223" s="5"/>
      <c r="H223" s="69">
        <f t="shared" si="20"/>
        <v>-8.471</v>
      </c>
      <c r="I223" s="70">
        <f t="shared" si="21"/>
        <v>15.289999999999997</v>
      </c>
      <c r="J223" s="58"/>
      <c r="L223" s="29"/>
    </row>
    <row r="224" spans="1:12" ht="15.75">
      <c r="A224" s="17"/>
      <c r="B224" s="64" t="s">
        <v>324</v>
      </c>
      <c r="C224" s="55" t="s">
        <v>247</v>
      </c>
      <c r="D224" s="71">
        <f>D225</f>
        <v>70</v>
      </c>
      <c r="E224" s="71">
        <f>E225</f>
        <v>0</v>
      </c>
      <c r="F224" s="71">
        <f>F225</f>
        <v>0</v>
      </c>
      <c r="G224" s="5"/>
      <c r="H224" s="68">
        <f t="shared" si="20"/>
        <v>-70</v>
      </c>
      <c r="I224" s="73">
        <f t="shared" si="21"/>
        <v>0</v>
      </c>
      <c r="J224" s="58"/>
      <c r="L224" s="29"/>
    </row>
    <row r="225" spans="1:12" ht="55.5" customHeight="1">
      <c r="A225" s="17"/>
      <c r="B225" s="64" t="s">
        <v>325</v>
      </c>
      <c r="C225" s="87" t="s">
        <v>248</v>
      </c>
      <c r="D225" s="71">
        <v>70</v>
      </c>
      <c r="E225" s="13"/>
      <c r="F225" s="5">
        <v>0</v>
      </c>
      <c r="G225" s="5"/>
      <c r="H225" s="68">
        <f t="shared" si="20"/>
        <v>-70</v>
      </c>
      <c r="I225" s="73">
        <f t="shared" si="21"/>
        <v>0</v>
      </c>
      <c r="J225" s="58"/>
      <c r="L225" s="29"/>
    </row>
    <row r="226" spans="1:12" ht="15.75">
      <c r="A226" s="17"/>
      <c r="B226" s="64" t="s">
        <v>180</v>
      </c>
      <c r="C226" s="55" t="s">
        <v>249</v>
      </c>
      <c r="D226" s="6">
        <f>D227+D228+D229</f>
        <v>2307.21986</v>
      </c>
      <c r="E226" s="6">
        <f>E227+E228+E229</f>
        <v>0</v>
      </c>
      <c r="F226" s="6">
        <f>F227+F228+F229</f>
        <v>907.83583</v>
      </c>
      <c r="G226" s="5">
        <f>F226-L219</f>
        <v>907.83583</v>
      </c>
      <c r="H226" s="68">
        <f aca="true" t="shared" si="22" ref="H226:H259">F226-D226</f>
        <v>-1399.3840300000002</v>
      </c>
      <c r="I226" s="73">
        <f aca="true" t="shared" si="23" ref="I226:I259">F226/D226*100</f>
        <v>39.34760816422584</v>
      </c>
      <c r="J226" s="58"/>
      <c r="L226" s="29"/>
    </row>
    <row r="227" spans="1:12" ht="57.75" customHeight="1">
      <c r="A227" s="17"/>
      <c r="B227" s="64" t="s">
        <v>421</v>
      </c>
      <c r="C227" s="55" t="s">
        <v>53</v>
      </c>
      <c r="D227" s="6">
        <f>521.714+1344.37986</f>
        <v>1866.09386</v>
      </c>
      <c r="E227" s="6"/>
      <c r="F227" s="5">
        <f>68.214+470.38315</f>
        <v>538.59715</v>
      </c>
      <c r="G227" s="5"/>
      <c r="H227" s="68">
        <f t="shared" si="22"/>
        <v>-1327.49671</v>
      </c>
      <c r="I227" s="73">
        <f t="shared" si="23"/>
        <v>28.86227544846003</v>
      </c>
      <c r="J227" s="58"/>
      <c r="L227" s="29"/>
    </row>
    <row r="228" spans="1:12" ht="53.25" customHeight="1">
      <c r="A228" s="17"/>
      <c r="B228" s="64" t="s">
        <v>421</v>
      </c>
      <c r="C228" s="55" t="s">
        <v>54</v>
      </c>
      <c r="D228" s="6">
        <f>330+108.5</f>
        <v>438.5</v>
      </c>
      <c r="E228" s="6"/>
      <c r="F228" s="5">
        <f>49.56968+319.669</f>
        <v>369.23868</v>
      </c>
      <c r="G228" s="5"/>
      <c r="H228" s="68">
        <f t="shared" si="22"/>
        <v>-69.26132000000001</v>
      </c>
      <c r="I228" s="73">
        <f t="shared" si="23"/>
        <v>84.20494412770809</v>
      </c>
      <c r="J228" s="58"/>
      <c r="L228" s="29"/>
    </row>
    <row r="229" spans="1:12" ht="60" customHeight="1">
      <c r="A229" s="17"/>
      <c r="B229" s="64" t="s">
        <v>206</v>
      </c>
      <c r="C229" s="55" t="s">
        <v>53</v>
      </c>
      <c r="D229" s="6">
        <v>2.626</v>
      </c>
      <c r="E229" s="6"/>
      <c r="F229" s="5">
        <v>0</v>
      </c>
      <c r="G229" s="5"/>
      <c r="H229" s="68">
        <f t="shared" si="22"/>
        <v>-2.626</v>
      </c>
      <c r="I229" s="73">
        <f t="shared" si="23"/>
        <v>0</v>
      </c>
      <c r="J229" s="58"/>
      <c r="L229" s="29"/>
    </row>
    <row r="230" spans="1:12" ht="47.25">
      <c r="A230" s="17"/>
      <c r="B230" s="64" t="s">
        <v>334</v>
      </c>
      <c r="C230" s="55" t="s">
        <v>55</v>
      </c>
      <c r="D230" s="6">
        <f>D231+D232+D233</f>
        <v>2374.0887000000002</v>
      </c>
      <c r="E230" s="6">
        <f>E231+E232+E233</f>
        <v>106</v>
      </c>
      <c r="F230" s="6">
        <f>F231+F232+F233</f>
        <v>529.24037</v>
      </c>
      <c r="G230" s="5"/>
      <c r="H230" s="68">
        <f t="shared" si="22"/>
        <v>-1844.8483300000003</v>
      </c>
      <c r="I230" s="73">
        <f t="shared" si="23"/>
        <v>22.29235874801139</v>
      </c>
      <c r="J230" s="58"/>
      <c r="L230" s="29"/>
    </row>
    <row r="231" spans="1:12" ht="54.75" customHeight="1">
      <c r="A231" s="17"/>
      <c r="B231" s="64" t="s">
        <v>334</v>
      </c>
      <c r="C231" s="55" t="s">
        <v>405</v>
      </c>
      <c r="D231" s="6">
        <v>1586.631</v>
      </c>
      <c r="E231" s="6"/>
      <c r="F231" s="5">
        <v>361.29282</v>
      </c>
      <c r="G231" s="5"/>
      <c r="H231" s="68">
        <f t="shared" si="22"/>
        <v>-1225.3381800000002</v>
      </c>
      <c r="I231" s="73">
        <f t="shared" si="23"/>
        <v>22.771067752993606</v>
      </c>
      <c r="J231" s="58"/>
      <c r="L231" s="29"/>
    </row>
    <row r="232" spans="1:12" ht="47.25">
      <c r="A232" s="17"/>
      <c r="B232" s="64" t="s">
        <v>334</v>
      </c>
      <c r="C232" s="55" t="s">
        <v>406</v>
      </c>
      <c r="D232" s="6">
        <v>693.454</v>
      </c>
      <c r="E232" s="6"/>
      <c r="F232" s="5">
        <v>113.87802</v>
      </c>
      <c r="G232" s="5"/>
      <c r="H232" s="68">
        <f t="shared" si="22"/>
        <v>-579.57598</v>
      </c>
      <c r="I232" s="73">
        <f t="shared" si="23"/>
        <v>16.42185638845547</v>
      </c>
      <c r="J232" s="58"/>
      <c r="L232" s="29"/>
    </row>
    <row r="233" spans="1:12" ht="71.25" customHeight="1">
      <c r="A233" s="17"/>
      <c r="B233" s="64" t="s">
        <v>334</v>
      </c>
      <c r="C233" s="55" t="s">
        <v>36</v>
      </c>
      <c r="D233" s="6">
        <v>94.0037</v>
      </c>
      <c r="E233" s="6">
        <v>106</v>
      </c>
      <c r="F233" s="5">
        <v>54.06953</v>
      </c>
      <c r="G233" s="5" t="e">
        <f>F233-#REF!</f>
        <v>#REF!</v>
      </c>
      <c r="H233" s="68">
        <f t="shared" si="22"/>
        <v>-39.934169999999995</v>
      </c>
      <c r="I233" s="73">
        <f t="shared" si="23"/>
        <v>57.51851256918611</v>
      </c>
      <c r="J233" s="58"/>
      <c r="L233" s="29"/>
    </row>
    <row r="234" spans="1:12" ht="31.5">
      <c r="A234" s="17"/>
      <c r="B234" s="64" t="s">
        <v>43</v>
      </c>
      <c r="C234" s="63" t="s">
        <v>197</v>
      </c>
      <c r="D234" s="6">
        <f>D235+D236+D237</f>
        <v>568.13947</v>
      </c>
      <c r="E234" s="6">
        <f>E235+E236+E237</f>
        <v>0</v>
      </c>
      <c r="F234" s="6">
        <f>F235+F236+F237</f>
        <v>447.14147</v>
      </c>
      <c r="G234" s="5"/>
      <c r="H234" s="68">
        <f t="shared" si="22"/>
        <v>-120.99799999999993</v>
      </c>
      <c r="I234" s="73">
        <f t="shared" si="23"/>
        <v>78.70276465741767</v>
      </c>
      <c r="J234" s="58"/>
      <c r="L234" s="29"/>
    </row>
    <row r="235" spans="1:12" ht="88.5" customHeight="1">
      <c r="A235" s="17"/>
      <c r="B235" s="48" t="s">
        <v>435</v>
      </c>
      <c r="C235" s="7" t="s">
        <v>67</v>
      </c>
      <c r="D235" s="1">
        <v>247.47</v>
      </c>
      <c r="E235" s="6"/>
      <c r="F235" s="4">
        <v>129.47</v>
      </c>
      <c r="G235" s="5"/>
      <c r="H235" s="69">
        <f t="shared" si="22"/>
        <v>-118</v>
      </c>
      <c r="I235" s="70">
        <f t="shared" si="23"/>
        <v>52.31745262051965</v>
      </c>
      <c r="J235" s="58"/>
      <c r="L235" s="29"/>
    </row>
    <row r="236" spans="1:12" ht="47.25" hidden="1">
      <c r="A236" s="17"/>
      <c r="B236" s="48" t="s">
        <v>435</v>
      </c>
      <c r="C236" s="63" t="s">
        <v>69</v>
      </c>
      <c r="D236" s="1">
        <v>0</v>
      </c>
      <c r="E236" s="6"/>
      <c r="F236" s="4">
        <v>0</v>
      </c>
      <c r="G236" s="5"/>
      <c r="H236" s="69">
        <f t="shared" si="22"/>
        <v>0</v>
      </c>
      <c r="I236" s="70" t="e">
        <f t="shared" si="23"/>
        <v>#DIV/0!</v>
      </c>
      <c r="J236" s="58"/>
      <c r="L236" s="29"/>
    </row>
    <row r="237" spans="1:12" ht="47.25">
      <c r="A237" s="17"/>
      <c r="B237" s="48" t="s">
        <v>435</v>
      </c>
      <c r="C237" s="65" t="s">
        <v>73</v>
      </c>
      <c r="D237" s="1">
        <v>320.66947</v>
      </c>
      <c r="E237" s="6"/>
      <c r="F237" s="4">
        <v>317.67147</v>
      </c>
      <c r="G237" s="5"/>
      <c r="H237" s="69">
        <f t="shared" si="22"/>
        <v>-2.9979999999999905</v>
      </c>
      <c r="I237" s="70">
        <f t="shared" si="23"/>
        <v>99.06508093832569</v>
      </c>
      <c r="J237" s="58"/>
      <c r="L237" s="29"/>
    </row>
    <row r="238" spans="1:12" ht="31.5">
      <c r="A238" s="17"/>
      <c r="B238" s="72" t="s">
        <v>465</v>
      </c>
      <c r="C238" s="55" t="s">
        <v>250</v>
      </c>
      <c r="D238" s="6">
        <f>D239+D240</f>
        <v>39</v>
      </c>
      <c r="E238" s="6">
        <f>E239+E240</f>
        <v>0</v>
      </c>
      <c r="F238" s="6">
        <f>F239+F240</f>
        <v>0</v>
      </c>
      <c r="G238" s="5"/>
      <c r="H238" s="68">
        <f t="shared" si="22"/>
        <v>-39</v>
      </c>
      <c r="I238" s="73">
        <f t="shared" si="23"/>
        <v>0</v>
      </c>
      <c r="J238" s="58"/>
      <c r="L238" s="29"/>
    </row>
    <row r="239" spans="1:12" ht="69" customHeight="1">
      <c r="A239" s="17"/>
      <c r="B239" s="72" t="s">
        <v>347</v>
      </c>
      <c r="C239" s="55" t="s">
        <v>252</v>
      </c>
      <c r="D239" s="6">
        <v>35.5</v>
      </c>
      <c r="E239" s="6"/>
      <c r="F239" s="6">
        <v>0</v>
      </c>
      <c r="G239" s="5"/>
      <c r="H239" s="68">
        <f t="shared" si="22"/>
        <v>-35.5</v>
      </c>
      <c r="I239" s="73">
        <f t="shared" si="23"/>
        <v>0</v>
      </c>
      <c r="J239" s="58"/>
      <c r="L239" s="29"/>
    </row>
    <row r="240" spans="1:12" ht="31.5">
      <c r="A240" s="17"/>
      <c r="B240" s="72" t="s">
        <v>339</v>
      </c>
      <c r="C240" s="55" t="s">
        <v>189</v>
      </c>
      <c r="D240" s="6">
        <v>3.5</v>
      </c>
      <c r="E240" s="6"/>
      <c r="F240" s="6">
        <v>0</v>
      </c>
      <c r="G240" s="5"/>
      <c r="H240" s="68">
        <f t="shared" si="22"/>
        <v>-3.5</v>
      </c>
      <c r="I240" s="73">
        <f t="shared" si="23"/>
        <v>0</v>
      </c>
      <c r="J240" s="58"/>
      <c r="L240" s="29"/>
    </row>
    <row r="241" spans="1:12" ht="31.5">
      <c r="A241" s="17"/>
      <c r="B241" s="72" t="s">
        <v>71</v>
      </c>
      <c r="C241" s="55" t="s">
        <v>253</v>
      </c>
      <c r="D241" s="6">
        <f>D242+D243</f>
        <v>220.03186</v>
      </c>
      <c r="E241" s="6">
        <f>E242+E243</f>
        <v>10</v>
      </c>
      <c r="F241" s="6">
        <f>F242+F243</f>
        <v>57.72997</v>
      </c>
      <c r="G241" s="5"/>
      <c r="H241" s="68">
        <f t="shared" si="22"/>
        <v>-162.30189</v>
      </c>
      <c r="I241" s="73">
        <f t="shared" si="23"/>
        <v>26.237095846028847</v>
      </c>
      <c r="J241" s="58"/>
      <c r="L241" s="29"/>
    </row>
    <row r="242" spans="1:12" ht="69.75" customHeight="1">
      <c r="A242" s="17"/>
      <c r="B242" s="49" t="s">
        <v>438</v>
      </c>
      <c r="C242" s="7" t="s">
        <v>37</v>
      </c>
      <c r="D242" s="1">
        <v>220.03186</v>
      </c>
      <c r="E242" s="6">
        <v>10</v>
      </c>
      <c r="F242" s="1">
        <v>57.72997</v>
      </c>
      <c r="G242" s="5" t="e">
        <f>F242-#REF!</f>
        <v>#REF!</v>
      </c>
      <c r="H242" s="69">
        <f t="shared" si="22"/>
        <v>-162.30189</v>
      </c>
      <c r="I242" s="70">
        <f t="shared" si="23"/>
        <v>26.237095846028847</v>
      </c>
      <c r="J242" s="58"/>
      <c r="L242" s="29"/>
    </row>
    <row r="243" spans="1:12" ht="63" hidden="1">
      <c r="A243" s="17"/>
      <c r="B243" s="49" t="s">
        <v>70</v>
      </c>
      <c r="C243" s="7" t="s">
        <v>37</v>
      </c>
      <c r="D243" s="1">
        <v>0</v>
      </c>
      <c r="E243" s="6"/>
      <c r="F243" s="1">
        <v>0</v>
      </c>
      <c r="G243" s="5"/>
      <c r="H243" s="69">
        <f t="shared" si="22"/>
        <v>0</v>
      </c>
      <c r="I243" s="70" t="e">
        <f t="shared" si="23"/>
        <v>#DIV/0!</v>
      </c>
      <c r="J243" s="58"/>
      <c r="L243" s="29"/>
    </row>
    <row r="244" spans="1:12" ht="15.75">
      <c r="A244" s="17"/>
      <c r="B244" s="72" t="s">
        <v>479</v>
      </c>
      <c r="C244" s="55" t="s">
        <v>254</v>
      </c>
      <c r="D244" s="6">
        <f>D245+D249+D246+D248+D247</f>
        <v>225.90541</v>
      </c>
      <c r="E244" s="6">
        <f>E245+E249+E246+E248+E247</f>
        <v>0</v>
      </c>
      <c r="F244" s="6">
        <f>F245+F249+F246+F248+F247</f>
        <v>178.15041</v>
      </c>
      <c r="G244" s="5"/>
      <c r="H244" s="68">
        <f t="shared" si="22"/>
        <v>-47.754999999999995</v>
      </c>
      <c r="I244" s="73">
        <f t="shared" si="23"/>
        <v>78.86062135475197</v>
      </c>
      <c r="J244" s="58"/>
      <c r="L244" s="29"/>
    </row>
    <row r="245" spans="1:12" ht="47.25">
      <c r="A245" s="17"/>
      <c r="B245" s="49" t="s">
        <v>479</v>
      </c>
      <c r="C245" s="7" t="s">
        <v>255</v>
      </c>
      <c r="D245" s="1">
        <v>130.05701</v>
      </c>
      <c r="E245" s="6"/>
      <c r="F245" s="1">
        <v>130.05701</v>
      </c>
      <c r="G245" s="5"/>
      <c r="H245" s="69">
        <f t="shared" si="22"/>
        <v>0</v>
      </c>
      <c r="I245" s="70">
        <f t="shared" si="23"/>
        <v>100</v>
      </c>
      <c r="J245" s="58"/>
      <c r="L245" s="29"/>
    </row>
    <row r="246" spans="1:12" ht="31.5">
      <c r="A246" s="17"/>
      <c r="B246" s="49" t="s">
        <v>479</v>
      </c>
      <c r="C246" s="7" t="s">
        <v>256</v>
      </c>
      <c r="D246" s="1">
        <v>11.9484</v>
      </c>
      <c r="E246" s="6"/>
      <c r="F246" s="1">
        <v>11.9484</v>
      </c>
      <c r="G246" s="5"/>
      <c r="H246" s="69">
        <f t="shared" si="22"/>
        <v>0</v>
      </c>
      <c r="I246" s="70">
        <f t="shared" si="23"/>
        <v>100</v>
      </c>
      <c r="J246" s="58"/>
      <c r="L246" s="29"/>
    </row>
    <row r="247" spans="1:12" ht="31.5">
      <c r="A247" s="17"/>
      <c r="B247" s="49" t="s">
        <v>479</v>
      </c>
      <c r="C247" s="7" t="s">
        <v>190</v>
      </c>
      <c r="D247" s="1">
        <v>32.9</v>
      </c>
      <c r="E247" s="6"/>
      <c r="F247" s="1">
        <v>0</v>
      </c>
      <c r="G247" s="5"/>
      <c r="H247" s="69">
        <f t="shared" si="22"/>
        <v>-32.9</v>
      </c>
      <c r="I247" s="70">
        <f t="shared" si="23"/>
        <v>0</v>
      </c>
      <c r="J247" s="58"/>
      <c r="L247" s="29"/>
    </row>
    <row r="248" spans="1:12" ht="31.5">
      <c r="A248" s="17"/>
      <c r="B248" s="49" t="s">
        <v>479</v>
      </c>
      <c r="C248" s="7" t="s">
        <v>257</v>
      </c>
      <c r="D248" s="1">
        <v>51</v>
      </c>
      <c r="E248" s="6"/>
      <c r="F248" s="1">
        <v>36.145</v>
      </c>
      <c r="G248" s="5"/>
      <c r="H248" s="69">
        <f t="shared" si="22"/>
        <v>-14.854999999999997</v>
      </c>
      <c r="I248" s="70">
        <f t="shared" si="23"/>
        <v>70.87254901960785</v>
      </c>
      <c r="J248" s="58"/>
      <c r="L248" s="29"/>
    </row>
    <row r="249" spans="1:12" ht="31.5" hidden="1">
      <c r="A249" s="17"/>
      <c r="B249" s="49" t="s">
        <v>479</v>
      </c>
      <c r="C249" s="7" t="s">
        <v>258</v>
      </c>
      <c r="D249" s="1"/>
      <c r="E249" s="6"/>
      <c r="F249" s="1"/>
      <c r="G249" s="5"/>
      <c r="H249" s="69">
        <f t="shared" si="22"/>
        <v>0</v>
      </c>
      <c r="I249" s="70" t="e">
        <f t="shared" si="23"/>
        <v>#DIV/0!</v>
      </c>
      <c r="J249" s="58"/>
      <c r="L249" s="29"/>
    </row>
    <row r="250" spans="1:12" ht="15.75">
      <c r="A250" s="17"/>
      <c r="B250" s="72" t="s">
        <v>466</v>
      </c>
      <c r="C250" s="55" t="s">
        <v>259</v>
      </c>
      <c r="D250" s="6">
        <f>D251+D258+D252+D255+D256+D257+D253+D254</f>
        <v>4847.99</v>
      </c>
      <c r="E250" s="6">
        <f>E251+E258+E252+E255+E256+E257+E253+E254</f>
        <v>0</v>
      </c>
      <c r="F250" s="6">
        <f>F251+F258+F252+F255+F256+F257+F253+F254</f>
        <v>3.69</v>
      </c>
      <c r="G250" s="5"/>
      <c r="H250" s="68">
        <f t="shared" si="22"/>
        <v>-4844.3</v>
      </c>
      <c r="I250" s="73">
        <f t="shared" si="23"/>
        <v>0.07611401838700162</v>
      </c>
      <c r="J250" s="58"/>
      <c r="L250" s="29"/>
    </row>
    <row r="251" spans="1:12" ht="63">
      <c r="A251" s="17" t="s">
        <v>318</v>
      </c>
      <c r="B251" s="48" t="s">
        <v>467</v>
      </c>
      <c r="C251" s="3" t="s">
        <v>191</v>
      </c>
      <c r="D251" s="12">
        <v>269</v>
      </c>
      <c r="E251" s="13"/>
      <c r="F251" s="4">
        <v>0</v>
      </c>
      <c r="G251" s="5"/>
      <c r="H251" s="69">
        <f t="shared" si="22"/>
        <v>-269</v>
      </c>
      <c r="I251" s="70">
        <f t="shared" si="23"/>
        <v>0</v>
      </c>
      <c r="J251" s="58"/>
      <c r="L251" s="29"/>
    </row>
    <row r="252" spans="1:12" ht="83.25" customHeight="1">
      <c r="A252" s="22"/>
      <c r="B252" s="49" t="s">
        <v>467</v>
      </c>
      <c r="C252" s="3" t="s">
        <v>278</v>
      </c>
      <c r="D252" s="1">
        <v>110</v>
      </c>
      <c r="E252" s="6"/>
      <c r="F252" s="1">
        <v>0</v>
      </c>
      <c r="G252" s="5"/>
      <c r="H252" s="69">
        <f t="shared" si="22"/>
        <v>-110</v>
      </c>
      <c r="I252" s="70">
        <f t="shared" si="23"/>
        <v>0</v>
      </c>
      <c r="J252" s="2"/>
      <c r="L252" s="40"/>
    </row>
    <row r="253" spans="1:12" ht="83.25" customHeight="1">
      <c r="A253" s="22"/>
      <c r="B253" s="49" t="s">
        <v>467</v>
      </c>
      <c r="C253" s="3" t="s">
        <v>279</v>
      </c>
      <c r="D253" s="1">
        <v>2.5</v>
      </c>
      <c r="E253" s="6"/>
      <c r="F253" s="1">
        <v>0</v>
      </c>
      <c r="G253" s="5"/>
      <c r="H253" s="69">
        <f t="shared" si="22"/>
        <v>-2.5</v>
      </c>
      <c r="I253" s="70">
        <f t="shared" si="23"/>
        <v>0</v>
      </c>
      <c r="J253" s="2"/>
      <c r="L253" s="40"/>
    </row>
    <row r="254" spans="1:12" ht="83.25" customHeight="1">
      <c r="A254" s="22"/>
      <c r="B254" s="49" t="s">
        <v>467</v>
      </c>
      <c r="C254" s="3" t="s">
        <v>280</v>
      </c>
      <c r="D254" s="1">
        <v>18</v>
      </c>
      <c r="E254" s="6"/>
      <c r="F254" s="1">
        <v>0</v>
      </c>
      <c r="G254" s="5"/>
      <c r="H254" s="69">
        <f t="shared" si="22"/>
        <v>-18</v>
      </c>
      <c r="I254" s="70">
        <f t="shared" si="23"/>
        <v>0</v>
      </c>
      <c r="J254" s="2"/>
      <c r="L254" s="40"/>
    </row>
    <row r="255" spans="1:12" ht="78.75">
      <c r="A255" s="22"/>
      <c r="B255" s="49" t="s">
        <v>467</v>
      </c>
      <c r="C255" s="55" t="s">
        <v>274</v>
      </c>
      <c r="D255" s="1">
        <v>3.69</v>
      </c>
      <c r="E255" s="6"/>
      <c r="F255" s="1">
        <v>3.69</v>
      </c>
      <c r="G255" s="5"/>
      <c r="H255" s="69">
        <f t="shared" si="22"/>
        <v>0</v>
      </c>
      <c r="I255" s="70">
        <f t="shared" si="23"/>
        <v>100</v>
      </c>
      <c r="J255" s="2"/>
      <c r="L255" s="40"/>
    </row>
    <row r="256" spans="1:12" ht="0.75" customHeight="1" hidden="1">
      <c r="A256" s="22"/>
      <c r="B256" s="49" t="s">
        <v>467</v>
      </c>
      <c r="C256" s="55" t="s">
        <v>275</v>
      </c>
      <c r="D256" s="1"/>
      <c r="E256" s="6"/>
      <c r="F256" s="1"/>
      <c r="G256" s="5"/>
      <c r="H256" s="69">
        <f t="shared" si="22"/>
        <v>0</v>
      </c>
      <c r="I256" s="70" t="e">
        <f t="shared" si="23"/>
        <v>#DIV/0!</v>
      </c>
      <c r="J256" s="2"/>
      <c r="L256" s="40"/>
    </row>
    <row r="257" spans="1:12" ht="63" hidden="1">
      <c r="A257" s="22"/>
      <c r="B257" s="49" t="s">
        <v>467</v>
      </c>
      <c r="C257" s="47" t="s">
        <v>263</v>
      </c>
      <c r="D257" s="1"/>
      <c r="E257" s="6"/>
      <c r="F257" s="1"/>
      <c r="G257" s="5"/>
      <c r="H257" s="69">
        <f t="shared" si="22"/>
        <v>0</v>
      </c>
      <c r="I257" s="70" t="e">
        <f t="shared" si="23"/>
        <v>#DIV/0!</v>
      </c>
      <c r="J257" s="2"/>
      <c r="L257" s="40"/>
    </row>
    <row r="258" spans="1:12" ht="50.25" customHeight="1">
      <c r="A258" s="22" t="s">
        <v>308</v>
      </c>
      <c r="B258" s="72" t="s">
        <v>72</v>
      </c>
      <c r="C258" s="74" t="s">
        <v>74</v>
      </c>
      <c r="D258" s="6">
        <v>4444.8</v>
      </c>
      <c r="E258" s="6"/>
      <c r="F258" s="6">
        <v>0</v>
      </c>
      <c r="G258" s="5"/>
      <c r="H258" s="68">
        <f t="shared" si="22"/>
        <v>-4444.8</v>
      </c>
      <c r="I258" s="73">
        <f t="shared" si="23"/>
        <v>0</v>
      </c>
      <c r="J258" s="2"/>
      <c r="L258" s="40"/>
    </row>
    <row r="259" spans="1:12" ht="15.75">
      <c r="A259" s="14"/>
      <c r="B259" s="91"/>
      <c r="C259" s="80" t="s">
        <v>474</v>
      </c>
      <c r="D259" s="71">
        <f>D261+D263+D269+D272+D276</f>
        <v>3990.623950000001</v>
      </c>
      <c r="E259" s="71">
        <f>E261+E263+E269+E272</f>
        <v>19</v>
      </c>
      <c r="F259" s="71">
        <f>F261+F263+F269+F272+F276</f>
        <v>1688.0328100000002</v>
      </c>
      <c r="G259" s="71" t="e">
        <f>#REF!+#REF!+#REF!+#REF!+#REF!+#REF!+#REF!+#REF!</f>
        <v>#REF!</v>
      </c>
      <c r="H259" s="68">
        <f t="shared" si="22"/>
        <v>-2302.591140000001</v>
      </c>
      <c r="I259" s="73">
        <f t="shared" si="23"/>
        <v>42.299971912913506</v>
      </c>
      <c r="J259" s="2"/>
      <c r="L259" s="40"/>
    </row>
    <row r="260" spans="1:12" ht="15.75" hidden="1">
      <c r="A260" s="27" t="s">
        <v>295</v>
      </c>
      <c r="B260" s="64" t="s">
        <v>296</v>
      </c>
      <c r="C260" s="80" t="s">
        <v>392</v>
      </c>
      <c r="D260" s="71"/>
      <c r="E260" s="71"/>
      <c r="F260" s="71"/>
      <c r="G260" s="71"/>
      <c r="H260" s="68">
        <f aca="true" t="shared" si="24" ref="H260:H291">F260-D260</f>
        <v>0</v>
      </c>
      <c r="I260" s="73" t="e">
        <f aca="true" t="shared" si="25" ref="I260:I291">F260/D260*100</f>
        <v>#DIV/0!</v>
      </c>
      <c r="J260" s="2"/>
      <c r="L260" s="40"/>
    </row>
    <row r="261" spans="1:12" ht="20.25" customHeight="1">
      <c r="A261" s="27" t="s">
        <v>295</v>
      </c>
      <c r="B261" s="64" t="s">
        <v>296</v>
      </c>
      <c r="C261" s="74" t="s">
        <v>38</v>
      </c>
      <c r="D261" s="71">
        <v>75.8022</v>
      </c>
      <c r="E261" s="71"/>
      <c r="F261" s="71">
        <v>40.3022</v>
      </c>
      <c r="G261" s="71"/>
      <c r="H261" s="68">
        <f t="shared" si="24"/>
        <v>-35.5</v>
      </c>
      <c r="I261" s="73">
        <f t="shared" si="25"/>
        <v>53.16758616504534</v>
      </c>
      <c r="J261" s="2"/>
      <c r="L261" s="40"/>
    </row>
    <row r="262" spans="1:12" ht="13.5" customHeight="1" hidden="1">
      <c r="A262" s="27" t="s">
        <v>295</v>
      </c>
      <c r="B262" s="64" t="s">
        <v>296</v>
      </c>
      <c r="C262" s="55" t="s">
        <v>473</v>
      </c>
      <c r="D262" s="71">
        <v>0</v>
      </c>
      <c r="E262" s="71"/>
      <c r="F262" s="71"/>
      <c r="G262" s="71"/>
      <c r="H262" s="68">
        <f t="shared" si="24"/>
        <v>0</v>
      </c>
      <c r="I262" s="73" t="e">
        <f t="shared" si="25"/>
        <v>#DIV/0!</v>
      </c>
      <c r="J262" s="2"/>
      <c r="L262" s="40"/>
    </row>
    <row r="263" spans="1:12" ht="15.75">
      <c r="A263" s="17" t="s">
        <v>297</v>
      </c>
      <c r="B263" s="64" t="s">
        <v>298</v>
      </c>
      <c r="C263" s="74" t="s">
        <v>264</v>
      </c>
      <c r="D263" s="71">
        <f>D264+D265+D266+D267+D268</f>
        <v>3734.421750000001</v>
      </c>
      <c r="E263" s="71">
        <f>E264+E265+E266+E267+E268</f>
        <v>0</v>
      </c>
      <c r="F263" s="71">
        <f>F264+F265+F266+F267+F268</f>
        <v>1570.87733</v>
      </c>
      <c r="G263" s="71"/>
      <c r="H263" s="68">
        <f t="shared" si="24"/>
        <v>-2163.544420000001</v>
      </c>
      <c r="I263" s="73">
        <f t="shared" si="25"/>
        <v>42.064807757720445</v>
      </c>
      <c r="J263" s="2"/>
      <c r="L263" s="40"/>
    </row>
    <row r="264" spans="1:12" ht="15.75">
      <c r="A264" s="17"/>
      <c r="B264" s="64" t="s">
        <v>356</v>
      </c>
      <c r="C264" s="63" t="s">
        <v>45</v>
      </c>
      <c r="D264" s="71">
        <v>2108.64465</v>
      </c>
      <c r="E264" s="71"/>
      <c r="F264" s="71">
        <v>729.60002</v>
      </c>
      <c r="G264" s="71"/>
      <c r="H264" s="68">
        <f t="shared" si="24"/>
        <v>-1379.0446300000003</v>
      </c>
      <c r="I264" s="73">
        <f t="shared" si="25"/>
        <v>34.60042544389829</v>
      </c>
      <c r="J264" s="2"/>
      <c r="L264" s="40"/>
    </row>
    <row r="265" spans="1:12" ht="15.75">
      <c r="A265" s="17"/>
      <c r="B265" s="64" t="s">
        <v>358</v>
      </c>
      <c r="C265" s="63" t="s">
        <v>44</v>
      </c>
      <c r="D265" s="71">
        <v>1604.1391</v>
      </c>
      <c r="E265" s="71"/>
      <c r="F265" s="71">
        <v>825.30531</v>
      </c>
      <c r="G265" s="71"/>
      <c r="H265" s="68">
        <f t="shared" si="24"/>
        <v>-778.8337900000001</v>
      </c>
      <c r="I265" s="73">
        <f t="shared" si="25"/>
        <v>51.44848785245618</v>
      </c>
      <c r="J265" s="2"/>
      <c r="L265" s="40"/>
    </row>
    <row r="266" spans="1:12" ht="15.75">
      <c r="A266" s="17"/>
      <c r="B266" s="64" t="s">
        <v>360</v>
      </c>
      <c r="C266" s="74" t="s">
        <v>395</v>
      </c>
      <c r="D266" s="71">
        <v>14.684</v>
      </c>
      <c r="E266" s="71"/>
      <c r="F266" s="71">
        <v>9.018</v>
      </c>
      <c r="G266" s="71"/>
      <c r="H266" s="68">
        <f t="shared" si="24"/>
        <v>-5.665999999999999</v>
      </c>
      <c r="I266" s="73">
        <f t="shared" si="25"/>
        <v>61.41378371016073</v>
      </c>
      <c r="J266" s="2"/>
      <c r="L266" s="40"/>
    </row>
    <row r="267" spans="1:12" ht="31.5">
      <c r="A267" s="17"/>
      <c r="B267" s="64" t="s">
        <v>377</v>
      </c>
      <c r="C267" s="74" t="s">
        <v>398</v>
      </c>
      <c r="D267" s="71">
        <v>6.954</v>
      </c>
      <c r="E267" s="71"/>
      <c r="F267" s="71">
        <v>6.954</v>
      </c>
      <c r="G267" s="71"/>
      <c r="H267" s="68">
        <f t="shared" si="24"/>
        <v>0</v>
      </c>
      <c r="I267" s="73">
        <f t="shared" si="25"/>
        <v>100</v>
      </c>
      <c r="J267" s="2"/>
      <c r="L267" s="40"/>
    </row>
    <row r="268" spans="1:12" ht="20.25" customHeight="1" hidden="1">
      <c r="A268" s="17"/>
      <c r="B268" s="64" t="s">
        <v>372</v>
      </c>
      <c r="C268" s="74" t="s">
        <v>399</v>
      </c>
      <c r="D268" s="71"/>
      <c r="E268" s="71"/>
      <c r="F268" s="71"/>
      <c r="G268" s="71"/>
      <c r="H268" s="68">
        <f t="shared" si="24"/>
        <v>0</v>
      </c>
      <c r="I268" s="73" t="e">
        <f t="shared" si="25"/>
        <v>#DIV/0!</v>
      </c>
      <c r="J268" s="2"/>
      <c r="L268" s="40"/>
    </row>
    <row r="269" spans="1:12" ht="15.75">
      <c r="A269" s="17"/>
      <c r="B269" s="64" t="s">
        <v>300</v>
      </c>
      <c r="C269" s="74" t="s">
        <v>265</v>
      </c>
      <c r="D269" s="71">
        <f>D270+D271</f>
        <v>45.3</v>
      </c>
      <c r="E269" s="71">
        <f>E270+E271</f>
        <v>19</v>
      </c>
      <c r="F269" s="71">
        <f>F270+F271</f>
        <v>10.16058</v>
      </c>
      <c r="G269" s="71"/>
      <c r="H269" s="68">
        <f t="shared" si="24"/>
        <v>-35.13942</v>
      </c>
      <c r="I269" s="73">
        <f t="shared" si="25"/>
        <v>22.42953642384106</v>
      </c>
      <c r="J269" s="2"/>
      <c r="L269" s="40"/>
    </row>
    <row r="270" spans="1:12" ht="63" hidden="1">
      <c r="A270" s="17"/>
      <c r="B270" s="48" t="s">
        <v>19</v>
      </c>
      <c r="C270" s="7" t="s">
        <v>238</v>
      </c>
      <c r="D270" s="1"/>
      <c r="E270" s="15"/>
      <c r="F270" s="4"/>
      <c r="G270" s="5"/>
      <c r="H270" s="69">
        <f t="shared" si="24"/>
        <v>0</v>
      </c>
      <c r="I270" s="70" t="e">
        <f t="shared" si="25"/>
        <v>#DIV/0!</v>
      </c>
      <c r="J270" s="2"/>
      <c r="L270" s="40"/>
    </row>
    <row r="271" spans="1:12" ht="63">
      <c r="A271" s="27" t="s">
        <v>311</v>
      </c>
      <c r="B271" s="48" t="s">
        <v>312</v>
      </c>
      <c r="C271" s="18" t="s">
        <v>34</v>
      </c>
      <c r="D271" s="15">
        <v>45.3</v>
      </c>
      <c r="E271" s="15">
        <v>19</v>
      </c>
      <c r="F271" s="4">
        <v>10.16058</v>
      </c>
      <c r="G271" s="5">
        <f>F271-L263</f>
        <v>10.16058</v>
      </c>
      <c r="H271" s="69">
        <f t="shared" si="24"/>
        <v>-35.13942</v>
      </c>
      <c r="I271" s="70">
        <f t="shared" si="25"/>
        <v>22.42953642384106</v>
      </c>
      <c r="J271" s="2"/>
      <c r="L271" s="40"/>
    </row>
    <row r="272" spans="1:12" ht="15.75">
      <c r="A272" s="19" t="s">
        <v>322</v>
      </c>
      <c r="B272" s="72" t="s">
        <v>335</v>
      </c>
      <c r="C272" s="55" t="s">
        <v>266</v>
      </c>
      <c r="D272" s="71">
        <f>D273+D274+D275</f>
        <v>135.1</v>
      </c>
      <c r="E272" s="71">
        <f>E273+E274+E275</f>
        <v>0</v>
      </c>
      <c r="F272" s="71">
        <f>F273+F274+F275</f>
        <v>66.6927</v>
      </c>
      <c r="G272" s="71"/>
      <c r="H272" s="68">
        <f t="shared" si="24"/>
        <v>-68.40729999999999</v>
      </c>
      <c r="I272" s="73">
        <f t="shared" si="25"/>
        <v>49.365433012583274</v>
      </c>
      <c r="J272" s="2"/>
      <c r="L272" s="40"/>
    </row>
    <row r="273" spans="1:12" ht="22.5" customHeight="1" hidden="1">
      <c r="A273" s="19"/>
      <c r="B273" s="49" t="s">
        <v>445</v>
      </c>
      <c r="C273" s="24" t="s">
        <v>244</v>
      </c>
      <c r="D273" s="12"/>
      <c r="E273" s="12"/>
      <c r="F273" s="12"/>
      <c r="G273" s="12"/>
      <c r="H273" s="69">
        <f t="shared" si="24"/>
        <v>0</v>
      </c>
      <c r="I273" s="70" t="e">
        <f t="shared" si="25"/>
        <v>#DIV/0!</v>
      </c>
      <c r="J273" s="2"/>
      <c r="L273" s="40"/>
    </row>
    <row r="274" spans="1:12" ht="15.75" hidden="1">
      <c r="A274" s="19"/>
      <c r="B274" s="49" t="s">
        <v>288</v>
      </c>
      <c r="C274" s="24" t="s">
        <v>268</v>
      </c>
      <c r="D274" s="12"/>
      <c r="E274" s="12"/>
      <c r="F274" s="12"/>
      <c r="G274" s="12"/>
      <c r="H274" s="69">
        <f t="shared" si="24"/>
        <v>0</v>
      </c>
      <c r="I274" s="70" t="e">
        <f t="shared" si="25"/>
        <v>#DIV/0!</v>
      </c>
      <c r="J274" s="2"/>
      <c r="L274" s="40"/>
    </row>
    <row r="275" spans="1:12" ht="15.75">
      <c r="A275" s="19"/>
      <c r="B275" s="49" t="s">
        <v>446</v>
      </c>
      <c r="C275" s="99" t="s">
        <v>267</v>
      </c>
      <c r="D275" s="12">
        <v>135.1</v>
      </c>
      <c r="E275" s="12"/>
      <c r="F275" s="12">
        <v>66.6927</v>
      </c>
      <c r="G275" s="12"/>
      <c r="H275" s="69">
        <f t="shared" si="24"/>
        <v>-68.40729999999999</v>
      </c>
      <c r="I275" s="70">
        <f t="shared" si="25"/>
        <v>49.365433012583274</v>
      </c>
      <c r="J275" s="2"/>
      <c r="L275" s="40"/>
    </row>
    <row r="276" spans="1:12" ht="31.5" hidden="1">
      <c r="A276" s="19"/>
      <c r="B276" s="72" t="s">
        <v>325</v>
      </c>
      <c r="C276" s="3" t="s">
        <v>39</v>
      </c>
      <c r="D276" s="71"/>
      <c r="E276" s="71"/>
      <c r="F276" s="71"/>
      <c r="G276" s="71"/>
      <c r="H276" s="68">
        <f t="shared" si="24"/>
        <v>0</v>
      </c>
      <c r="I276" s="73" t="e">
        <f t="shared" si="25"/>
        <v>#DIV/0!</v>
      </c>
      <c r="J276" s="2"/>
      <c r="L276" s="40"/>
    </row>
    <row r="277" spans="1:12" ht="15.75">
      <c r="A277" s="27"/>
      <c r="B277" s="64"/>
      <c r="C277" s="80" t="s">
        <v>476</v>
      </c>
      <c r="D277" s="71">
        <f>D278+D279+D286+D291+D292+D298</f>
        <v>255.98718000000002</v>
      </c>
      <c r="E277" s="71">
        <f>E278+E279+E286+E291+E292+E298</f>
        <v>20.700000000000003</v>
      </c>
      <c r="F277" s="71">
        <f>F278+F279+F286+F291+F292+F298</f>
        <v>255.13677</v>
      </c>
      <c r="G277" s="71"/>
      <c r="H277" s="68">
        <f t="shared" si="24"/>
        <v>-0.8504100000000108</v>
      </c>
      <c r="I277" s="73">
        <f t="shared" si="25"/>
        <v>99.66779195739412</v>
      </c>
      <c r="J277" s="2"/>
      <c r="L277" s="40"/>
    </row>
    <row r="278" spans="1:12" ht="24" customHeight="1" hidden="1">
      <c r="A278" s="27"/>
      <c r="B278" s="64" t="s">
        <v>296</v>
      </c>
      <c r="C278" s="80" t="s">
        <v>89</v>
      </c>
      <c r="D278" s="71"/>
      <c r="E278" s="71"/>
      <c r="F278" s="71"/>
      <c r="G278" s="71"/>
      <c r="H278" s="68">
        <f t="shared" si="24"/>
        <v>0</v>
      </c>
      <c r="I278" s="73" t="e">
        <f t="shared" si="25"/>
        <v>#DIV/0!</v>
      </c>
      <c r="J278" s="2"/>
      <c r="L278" s="40"/>
    </row>
    <row r="279" spans="1:12" ht="15.75">
      <c r="A279" s="17" t="s">
        <v>297</v>
      </c>
      <c r="B279" s="64" t="s">
        <v>298</v>
      </c>
      <c r="C279" s="74" t="s">
        <v>264</v>
      </c>
      <c r="D279" s="71">
        <f>D280+D281+D282+D283+D285+D284</f>
        <v>240.72015000000002</v>
      </c>
      <c r="E279" s="71">
        <f>E280+E281+E282+E283+E285+E284</f>
        <v>0</v>
      </c>
      <c r="F279" s="71">
        <f>F280+F281+F282+F283+F285+F284</f>
        <v>239.86974</v>
      </c>
      <c r="G279" s="71"/>
      <c r="H279" s="68">
        <f t="shared" si="24"/>
        <v>-0.8504100000000108</v>
      </c>
      <c r="I279" s="73">
        <f t="shared" si="25"/>
        <v>99.64672255313897</v>
      </c>
      <c r="J279" s="2"/>
      <c r="L279" s="40"/>
    </row>
    <row r="280" spans="1:12" ht="15.75">
      <c r="A280" s="17"/>
      <c r="B280" s="48" t="s">
        <v>356</v>
      </c>
      <c r="C280" s="20" t="s">
        <v>45</v>
      </c>
      <c r="D280" s="12">
        <v>106.688</v>
      </c>
      <c r="E280" s="12"/>
      <c r="F280" s="12">
        <v>106.68825</v>
      </c>
      <c r="G280" s="12"/>
      <c r="H280" s="69">
        <f t="shared" si="24"/>
        <v>0.0002499999999940883</v>
      </c>
      <c r="I280" s="70">
        <f t="shared" si="25"/>
        <v>100.00023432813437</v>
      </c>
      <c r="J280" s="2"/>
      <c r="L280" s="40"/>
    </row>
    <row r="281" spans="1:12" ht="15.75">
      <c r="A281" s="17"/>
      <c r="B281" s="48" t="s">
        <v>358</v>
      </c>
      <c r="C281" s="20" t="s">
        <v>44</v>
      </c>
      <c r="D281" s="12">
        <v>128.0293</v>
      </c>
      <c r="E281" s="12"/>
      <c r="F281" s="12">
        <v>127.17864</v>
      </c>
      <c r="G281" s="12"/>
      <c r="H281" s="69">
        <f t="shared" si="24"/>
        <v>-0.8506600000000049</v>
      </c>
      <c r="I281" s="70">
        <f t="shared" si="25"/>
        <v>99.33557396627178</v>
      </c>
      <c r="J281" s="2"/>
      <c r="L281" s="40"/>
    </row>
    <row r="282" spans="1:12" ht="15.75">
      <c r="A282" s="17"/>
      <c r="B282" s="48" t="s">
        <v>360</v>
      </c>
      <c r="C282" s="18" t="s">
        <v>395</v>
      </c>
      <c r="D282" s="12">
        <v>6.00285</v>
      </c>
      <c r="E282" s="12"/>
      <c r="F282" s="12">
        <v>6.00285</v>
      </c>
      <c r="G282" s="12"/>
      <c r="H282" s="69">
        <f t="shared" si="24"/>
        <v>0</v>
      </c>
      <c r="I282" s="70">
        <f t="shared" si="25"/>
        <v>100</v>
      </c>
      <c r="J282" s="2"/>
      <c r="L282" s="40"/>
    </row>
    <row r="283" spans="1:12" ht="18.75" customHeight="1" hidden="1">
      <c r="A283" s="17"/>
      <c r="B283" s="48" t="s">
        <v>375</v>
      </c>
      <c r="C283" s="18" t="s">
        <v>46</v>
      </c>
      <c r="D283" s="12">
        <v>0</v>
      </c>
      <c r="E283" s="12"/>
      <c r="F283" s="12">
        <v>0</v>
      </c>
      <c r="G283" s="12"/>
      <c r="H283" s="69">
        <f t="shared" si="24"/>
        <v>0</v>
      </c>
      <c r="I283" s="70" t="e">
        <f t="shared" si="25"/>
        <v>#DIV/0!</v>
      </c>
      <c r="J283" s="2"/>
      <c r="L283" s="40"/>
    </row>
    <row r="284" spans="1:12" ht="31.5" customHeight="1" hidden="1">
      <c r="A284" s="17"/>
      <c r="B284" s="48" t="s">
        <v>377</v>
      </c>
      <c r="C284" s="18" t="s">
        <v>398</v>
      </c>
      <c r="D284" s="12"/>
      <c r="E284" s="12"/>
      <c r="F284" s="12"/>
      <c r="G284" s="12"/>
      <c r="H284" s="69">
        <f t="shared" si="24"/>
        <v>0</v>
      </c>
      <c r="I284" s="70" t="e">
        <f t="shared" si="25"/>
        <v>#DIV/0!</v>
      </c>
      <c r="J284" s="2"/>
      <c r="L284" s="40"/>
    </row>
    <row r="285" spans="1:12" ht="17.25" customHeight="1" hidden="1">
      <c r="A285" s="17"/>
      <c r="B285" s="48" t="s">
        <v>372</v>
      </c>
      <c r="C285" s="18" t="s">
        <v>399</v>
      </c>
      <c r="D285" s="12"/>
      <c r="E285" s="12"/>
      <c r="F285" s="12"/>
      <c r="G285" s="12"/>
      <c r="H285" s="69">
        <f t="shared" si="24"/>
        <v>0</v>
      </c>
      <c r="I285" s="70" t="e">
        <f t="shared" si="25"/>
        <v>#DIV/0!</v>
      </c>
      <c r="J285" s="2"/>
      <c r="L285" s="40"/>
    </row>
    <row r="286" spans="1:12" ht="15.75">
      <c r="A286" s="17"/>
      <c r="B286" s="64" t="s">
        <v>300</v>
      </c>
      <c r="C286" s="74" t="s">
        <v>265</v>
      </c>
      <c r="D286" s="71">
        <f>D287+D288+D289+D290</f>
        <v>0.05</v>
      </c>
      <c r="E286" s="71">
        <f>E287+E288+E289+E290</f>
        <v>0</v>
      </c>
      <c r="F286" s="71">
        <f>F287+F288+F289+F290</f>
        <v>0.05</v>
      </c>
      <c r="G286" s="71"/>
      <c r="H286" s="68">
        <f t="shared" si="24"/>
        <v>0</v>
      </c>
      <c r="I286" s="73">
        <f t="shared" si="25"/>
        <v>100</v>
      </c>
      <c r="J286" s="2"/>
      <c r="L286" s="40"/>
    </row>
    <row r="287" spans="1:12" ht="31.5">
      <c r="A287" s="17"/>
      <c r="B287" s="48" t="s">
        <v>309</v>
      </c>
      <c r="C287" s="18" t="s">
        <v>158</v>
      </c>
      <c r="D287" s="12">
        <v>0.05</v>
      </c>
      <c r="E287" s="12"/>
      <c r="F287" s="12">
        <v>0.05</v>
      </c>
      <c r="G287" s="12"/>
      <c r="H287" s="69">
        <f t="shared" si="24"/>
        <v>0</v>
      </c>
      <c r="I287" s="70">
        <f t="shared" si="25"/>
        <v>100</v>
      </c>
      <c r="J287" s="2"/>
      <c r="L287" s="40"/>
    </row>
    <row r="288" spans="1:12" ht="63" hidden="1">
      <c r="A288" s="17"/>
      <c r="B288" s="48" t="s">
        <v>19</v>
      </c>
      <c r="C288" s="7" t="s">
        <v>238</v>
      </c>
      <c r="D288" s="12"/>
      <c r="E288" s="12"/>
      <c r="F288" s="12"/>
      <c r="G288" s="12"/>
      <c r="H288" s="69">
        <f t="shared" si="24"/>
        <v>0</v>
      </c>
      <c r="I288" s="70" t="e">
        <f t="shared" si="25"/>
        <v>#DIV/0!</v>
      </c>
      <c r="J288" s="2"/>
      <c r="L288" s="40"/>
    </row>
    <row r="289" spans="1:12" ht="47.25" hidden="1">
      <c r="A289" s="17"/>
      <c r="B289" s="48" t="s">
        <v>25</v>
      </c>
      <c r="C289" s="3" t="s">
        <v>269</v>
      </c>
      <c r="D289" s="12"/>
      <c r="E289" s="12"/>
      <c r="F289" s="12"/>
      <c r="G289" s="12"/>
      <c r="H289" s="69">
        <f t="shared" si="24"/>
        <v>0</v>
      </c>
      <c r="I289" s="70" t="e">
        <f t="shared" si="25"/>
        <v>#DIV/0!</v>
      </c>
      <c r="J289" s="2"/>
      <c r="L289" s="40"/>
    </row>
    <row r="290" spans="1:12" ht="63" hidden="1">
      <c r="A290" s="17"/>
      <c r="B290" s="48" t="s">
        <v>312</v>
      </c>
      <c r="C290" s="18" t="s">
        <v>34</v>
      </c>
      <c r="D290" s="12"/>
      <c r="E290" s="12"/>
      <c r="F290" s="12"/>
      <c r="G290" s="12"/>
      <c r="H290" s="69">
        <f t="shared" si="24"/>
        <v>0</v>
      </c>
      <c r="I290" s="70" t="e">
        <f t="shared" si="25"/>
        <v>#DIV/0!</v>
      </c>
      <c r="J290" s="2"/>
      <c r="L290" s="40"/>
    </row>
    <row r="291" spans="1:12" ht="47.25" hidden="1">
      <c r="A291" s="27" t="s">
        <v>311</v>
      </c>
      <c r="B291" s="64" t="s">
        <v>321</v>
      </c>
      <c r="C291" s="55" t="s">
        <v>270</v>
      </c>
      <c r="D291" s="6"/>
      <c r="E291" s="6">
        <v>20.6</v>
      </c>
      <c r="F291" s="6"/>
      <c r="G291" s="5"/>
      <c r="H291" s="68">
        <f t="shared" si="24"/>
        <v>0</v>
      </c>
      <c r="I291" s="73" t="e">
        <f t="shared" si="25"/>
        <v>#DIV/0!</v>
      </c>
      <c r="J291" s="2"/>
      <c r="L291" s="40"/>
    </row>
    <row r="292" spans="1:12" ht="15.75">
      <c r="A292" s="19" t="s">
        <v>322</v>
      </c>
      <c r="B292" s="72" t="s">
        <v>335</v>
      </c>
      <c r="C292" s="63" t="s">
        <v>266</v>
      </c>
      <c r="D292" s="100">
        <f>D293+D294+D295+D296</f>
        <v>15.217030000000001</v>
      </c>
      <c r="E292" s="100">
        <f>E293+E294+E295+E296</f>
        <v>0</v>
      </c>
      <c r="F292" s="100">
        <f>F293+F294+F295+F296</f>
        <v>15.217030000000001</v>
      </c>
      <c r="G292" s="71"/>
      <c r="H292" s="68">
        <f aca="true" t="shared" si="26" ref="H292:H300">F292-D292</f>
        <v>0</v>
      </c>
      <c r="I292" s="73">
        <f aca="true" t="shared" si="27" ref="I292:I300">F292/D292*100</f>
        <v>100</v>
      </c>
      <c r="J292" s="2"/>
      <c r="L292" s="40"/>
    </row>
    <row r="293" spans="1:12" ht="15.75">
      <c r="A293" s="19"/>
      <c r="B293" s="72" t="s">
        <v>444</v>
      </c>
      <c r="C293" s="87" t="s">
        <v>271</v>
      </c>
      <c r="D293" s="100">
        <v>8.26703</v>
      </c>
      <c r="E293" s="71"/>
      <c r="F293" s="71">
        <v>8.26703</v>
      </c>
      <c r="G293" s="71"/>
      <c r="H293" s="68">
        <f t="shared" si="26"/>
        <v>0</v>
      </c>
      <c r="I293" s="73">
        <f t="shared" si="27"/>
        <v>100</v>
      </c>
      <c r="J293" s="2"/>
      <c r="L293" s="40"/>
    </row>
    <row r="294" spans="1:12" ht="15.75" customHeight="1">
      <c r="A294" s="19"/>
      <c r="B294" s="72" t="s">
        <v>445</v>
      </c>
      <c r="C294" s="87" t="s">
        <v>192</v>
      </c>
      <c r="D294" s="100">
        <v>0.34</v>
      </c>
      <c r="E294" s="71"/>
      <c r="F294" s="71">
        <v>0.34</v>
      </c>
      <c r="G294" s="71"/>
      <c r="H294" s="68">
        <f t="shared" si="26"/>
        <v>0</v>
      </c>
      <c r="I294" s="73">
        <f t="shared" si="27"/>
        <v>100</v>
      </c>
      <c r="J294" s="2"/>
      <c r="L294" s="40"/>
    </row>
    <row r="295" spans="1:12" ht="15.75">
      <c r="A295" s="19"/>
      <c r="B295" s="72" t="s">
        <v>446</v>
      </c>
      <c r="C295" s="99" t="s">
        <v>267</v>
      </c>
      <c r="D295" s="100">
        <v>2.22</v>
      </c>
      <c r="E295" s="71"/>
      <c r="F295" s="71">
        <v>2.22</v>
      </c>
      <c r="G295" s="71"/>
      <c r="H295" s="68">
        <f t="shared" si="26"/>
        <v>0</v>
      </c>
      <c r="I295" s="73">
        <f t="shared" si="27"/>
        <v>100</v>
      </c>
      <c r="J295" s="2"/>
      <c r="L295" s="40"/>
    </row>
    <row r="296" spans="1:12" ht="31.5">
      <c r="A296" s="19"/>
      <c r="B296" s="72" t="s">
        <v>424</v>
      </c>
      <c r="C296" s="99" t="s">
        <v>281</v>
      </c>
      <c r="D296" s="100">
        <v>4.39</v>
      </c>
      <c r="E296" s="71"/>
      <c r="F296" s="71">
        <v>4.39</v>
      </c>
      <c r="G296" s="71"/>
      <c r="H296" s="68">
        <f t="shared" si="26"/>
        <v>0</v>
      </c>
      <c r="I296" s="73">
        <f t="shared" si="27"/>
        <v>100</v>
      </c>
      <c r="J296" s="2"/>
      <c r="L296" s="40"/>
    </row>
    <row r="297" spans="1:12" ht="66" customHeight="1" hidden="1">
      <c r="A297" s="19"/>
      <c r="B297" s="72" t="s">
        <v>415</v>
      </c>
      <c r="C297" s="55" t="s">
        <v>282</v>
      </c>
      <c r="D297" s="100"/>
      <c r="E297" s="71"/>
      <c r="F297" s="71"/>
      <c r="G297" s="71"/>
      <c r="H297" s="68">
        <f t="shared" si="26"/>
        <v>0</v>
      </c>
      <c r="I297" s="76" t="e">
        <f t="shared" si="27"/>
        <v>#DIV/0!</v>
      </c>
      <c r="J297" s="2"/>
      <c r="L297" s="40"/>
    </row>
    <row r="298" spans="1:12" ht="31.5" hidden="1">
      <c r="A298" s="27" t="s">
        <v>323</v>
      </c>
      <c r="B298" s="64" t="s">
        <v>325</v>
      </c>
      <c r="C298" s="80" t="s">
        <v>39</v>
      </c>
      <c r="D298" s="6"/>
      <c r="E298" s="6">
        <v>0.1</v>
      </c>
      <c r="F298" s="5"/>
      <c r="G298" s="5" t="e">
        <f>F298-#REF!</f>
        <v>#REF!</v>
      </c>
      <c r="H298" s="68">
        <f t="shared" si="26"/>
        <v>0</v>
      </c>
      <c r="I298" s="73" t="e">
        <f t="shared" si="27"/>
        <v>#DIV/0!</v>
      </c>
      <c r="J298" s="2"/>
      <c r="L298" s="59"/>
    </row>
    <row r="299" spans="1:12" ht="18" customHeight="1">
      <c r="A299" s="27"/>
      <c r="B299" s="97"/>
      <c r="C299" s="74" t="s">
        <v>391</v>
      </c>
      <c r="D299" s="6">
        <f>D187+D259+D277</f>
        <v>30631.347700000002</v>
      </c>
      <c r="E299" s="6">
        <f>E187+E259+E277</f>
        <v>155.7</v>
      </c>
      <c r="F299" s="6">
        <f>F187+F259+F277</f>
        <v>6787.647169999999</v>
      </c>
      <c r="G299" s="6" t="e">
        <f>G259+#REF!+#REF!</f>
        <v>#REF!</v>
      </c>
      <c r="H299" s="68">
        <f t="shared" si="26"/>
        <v>-23843.700530000002</v>
      </c>
      <c r="I299" s="73">
        <f t="shared" si="27"/>
        <v>22.15915289290389</v>
      </c>
      <c r="L299" s="29"/>
    </row>
    <row r="300" spans="1:12" ht="18" customHeight="1">
      <c r="A300" s="27"/>
      <c r="B300" s="97"/>
      <c r="C300" s="74" t="s">
        <v>290</v>
      </c>
      <c r="D300" s="6">
        <f>D299+D185</f>
        <v>197179.77234</v>
      </c>
      <c r="E300" s="6"/>
      <c r="F300" s="6">
        <f>F299+F185</f>
        <v>71383.20211</v>
      </c>
      <c r="G300" s="6"/>
      <c r="H300" s="68">
        <f t="shared" si="26"/>
        <v>-125796.57023</v>
      </c>
      <c r="I300" s="73">
        <f t="shared" si="27"/>
        <v>36.20209175762354</v>
      </c>
      <c r="L300" s="29"/>
    </row>
    <row r="301" spans="1:12" ht="78" customHeight="1">
      <c r="A301" s="117" t="s">
        <v>28</v>
      </c>
      <c r="B301" s="117"/>
      <c r="C301" s="117"/>
      <c r="D301" s="117"/>
      <c r="E301" s="60"/>
      <c r="F301" s="114" t="s">
        <v>47</v>
      </c>
      <c r="G301" s="114"/>
      <c r="H301" s="114"/>
      <c r="I301" s="114"/>
      <c r="L301" s="29"/>
    </row>
    <row r="302" spans="1:12" ht="18" customHeight="1">
      <c r="A302" s="106"/>
      <c r="B302" s="106"/>
      <c r="C302" s="106"/>
      <c r="G302" s="107"/>
      <c r="H302" s="107"/>
      <c r="L302" s="29"/>
    </row>
    <row r="303" spans="1:12" ht="18" customHeight="1">
      <c r="A303" s="106"/>
      <c r="B303" s="106"/>
      <c r="C303" s="106"/>
      <c r="L303" s="29"/>
    </row>
    <row r="304" spans="3:12" ht="15.75">
      <c r="C304" s="41"/>
      <c r="L304" s="34"/>
    </row>
    <row r="305" spans="3:12" ht="15.75">
      <c r="C305" s="42"/>
      <c r="D305" s="43"/>
      <c r="E305" s="43"/>
      <c r="F305" s="43"/>
      <c r="G305" s="44"/>
      <c r="L305" s="45"/>
    </row>
    <row r="306" spans="3:12" ht="45" customHeight="1">
      <c r="C306" s="41"/>
      <c r="D306" s="9"/>
      <c r="E306" s="9"/>
      <c r="F306" s="9"/>
      <c r="G306" s="46"/>
      <c r="H306" s="9"/>
      <c r="L306" s="45"/>
    </row>
    <row r="307" spans="3:12" ht="84" customHeight="1">
      <c r="C307" s="41"/>
      <c r="D307" s="9"/>
      <c r="E307" s="9"/>
      <c r="F307" s="9"/>
      <c r="G307" s="46"/>
      <c r="L307" s="29"/>
    </row>
    <row r="308" spans="3:12" ht="15.75">
      <c r="C308" s="41"/>
      <c r="L308" s="45"/>
    </row>
    <row r="309" spans="3:12" ht="15.75">
      <c r="C309" s="41"/>
      <c r="D309" s="9"/>
      <c r="E309" s="9"/>
      <c r="F309" s="9"/>
      <c r="G309" s="46"/>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sheetData>
  <mergeCells count="12">
    <mergeCell ref="C2:I2"/>
    <mergeCell ref="C3:I3"/>
    <mergeCell ref="A6:I6"/>
    <mergeCell ref="A7:I7"/>
    <mergeCell ref="A302:C302"/>
    <mergeCell ref="G302:H302"/>
    <mergeCell ref="A303:C303"/>
    <mergeCell ref="H8:I8"/>
    <mergeCell ref="A11:I11"/>
    <mergeCell ref="A186:I186"/>
    <mergeCell ref="F301:I301"/>
    <mergeCell ref="A301:D301"/>
  </mergeCells>
  <printOptions/>
  <pageMargins left="1.41" right="0.31" top="0.55" bottom="0.19" header="0" footer="0"/>
  <pageSetup blackAndWhite="1" fitToHeight="17"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M420"/>
  <sheetViews>
    <sheetView view="pageBreakPreview" zoomScaleSheetLayoutView="100" workbookViewId="0" topLeftCell="B1">
      <selection activeCell="H7" sqref="H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27</v>
      </c>
      <c r="F1" s="77" t="s">
        <v>29</v>
      </c>
      <c r="G1" s="62"/>
      <c r="H1" s="62"/>
      <c r="I1" s="62"/>
    </row>
    <row r="2" spans="5:9" s="52" customFormat="1" ht="26.25">
      <c r="E2" s="62"/>
      <c r="F2" s="78" t="s">
        <v>95</v>
      </c>
      <c r="G2" s="62"/>
      <c r="H2" s="53"/>
      <c r="I2" s="53"/>
    </row>
    <row r="3" spans="5:9" s="52" customFormat="1" ht="26.25">
      <c r="E3" s="62"/>
      <c r="F3" s="78" t="s">
        <v>97</v>
      </c>
      <c r="G3" s="62"/>
      <c r="H3" s="53"/>
      <c r="I3" s="53"/>
    </row>
    <row r="4" spans="1:12" s="52" customFormat="1" ht="24.75" customHeight="1">
      <c r="A4" s="116" t="s">
        <v>24</v>
      </c>
      <c r="B4" s="116"/>
      <c r="C4" s="116"/>
      <c r="D4" s="116"/>
      <c r="E4" s="116"/>
      <c r="F4" s="116"/>
      <c r="G4" s="116"/>
      <c r="H4" s="116"/>
      <c r="I4" s="116"/>
      <c r="J4" s="53"/>
      <c r="L4" s="54"/>
    </row>
    <row r="5" spans="1:12" s="52" customFormat="1" ht="26.25">
      <c r="A5" s="116" t="s">
        <v>139</v>
      </c>
      <c r="B5" s="116"/>
      <c r="C5" s="116"/>
      <c r="D5" s="116"/>
      <c r="E5" s="116"/>
      <c r="F5" s="116"/>
      <c r="G5" s="116"/>
      <c r="H5" s="116"/>
      <c r="I5" s="116"/>
      <c r="J5" s="56"/>
      <c r="L5" s="54"/>
    </row>
    <row r="6" spans="8:13" ht="15.75">
      <c r="H6" s="108" t="s">
        <v>56</v>
      </c>
      <c r="I6" s="108"/>
      <c r="J6" s="30"/>
      <c r="K6" s="31"/>
      <c r="L6" s="30"/>
      <c r="M6" s="31"/>
    </row>
    <row r="7" spans="1:12" ht="78.75">
      <c r="A7" s="32" t="s">
        <v>292</v>
      </c>
      <c r="B7" s="32" t="s">
        <v>293</v>
      </c>
      <c r="C7" s="32" t="s">
        <v>294</v>
      </c>
      <c r="D7" s="33" t="s">
        <v>57</v>
      </c>
      <c r="E7" s="32" t="s">
        <v>456</v>
      </c>
      <c r="F7" s="32" t="s">
        <v>181</v>
      </c>
      <c r="G7" s="33" t="s">
        <v>451</v>
      </c>
      <c r="H7" s="32" t="s">
        <v>59</v>
      </c>
      <c r="I7" s="32" t="s">
        <v>60</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295</v>
      </c>
      <c r="B10" s="79" t="s">
        <v>296</v>
      </c>
      <c r="C10" s="80" t="s">
        <v>98</v>
      </c>
      <c r="D10" s="5">
        <f>SUM(D11:D19)</f>
        <v>11312.50986</v>
      </c>
      <c r="E10" s="5">
        <f>SUM(E11:E19)</f>
        <v>3613.0000000000005</v>
      </c>
      <c r="F10" s="5">
        <f>SUM(F11:F19)</f>
        <v>4898.34608</v>
      </c>
      <c r="G10" s="5" t="e">
        <f>SUM(G11:G19)</f>
        <v>#REF!</v>
      </c>
      <c r="H10" s="5">
        <f aca="true" t="shared" si="0" ref="H10:H34">F10-D10</f>
        <v>-6414.16378</v>
      </c>
      <c r="I10" s="6">
        <f aca="true" t="shared" si="1" ref="I10:I26">F10/D10*100</f>
        <v>43.30025909917749</v>
      </c>
      <c r="J10" s="2"/>
      <c r="L10" s="37"/>
    </row>
    <row r="11" spans="1:12" ht="15.75">
      <c r="A11" s="17" t="s">
        <v>295</v>
      </c>
      <c r="B11" s="48" t="s">
        <v>296</v>
      </c>
      <c r="C11" s="18" t="s">
        <v>114</v>
      </c>
      <c r="D11" s="6">
        <f>661.187+1.6</f>
        <v>662.787</v>
      </c>
      <c r="E11" s="1">
        <v>314.3</v>
      </c>
      <c r="F11" s="4">
        <v>339.705</v>
      </c>
      <c r="G11" s="5">
        <f>F11-L10</f>
        <v>339.705</v>
      </c>
      <c r="H11" s="4">
        <f t="shared" si="0"/>
        <v>-323.08200000000005</v>
      </c>
      <c r="I11" s="1">
        <f t="shared" si="1"/>
        <v>51.254022785600796</v>
      </c>
      <c r="J11" s="2"/>
      <c r="L11" s="37"/>
    </row>
    <row r="12" spans="1:12" ht="31.5">
      <c r="A12" s="17" t="s">
        <v>295</v>
      </c>
      <c r="B12" s="48" t="s">
        <v>296</v>
      </c>
      <c r="C12" s="18" t="s">
        <v>118</v>
      </c>
      <c r="D12" s="6">
        <v>5185.09256</v>
      </c>
      <c r="E12" s="1">
        <v>1487.3</v>
      </c>
      <c r="F12" s="4">
        <v>2215.01728</v>
      </c>
      <c r="G12" s="5">
        <f>F12-L11</f>
        <v>2215.01728</v>
      </c>
      <c r="H12" s="4">
        <f t="shared" si="0"/>
        <v>-2970.07528</v>
      </c>
      <c r="I12" s="1">
        <f t="shared" si="1"/>
        <v>42.718953506974614</v>
      </c>
      <c r="J12" s="2"/>
      <c r="L12" s="37"/>
    </row>
    <row r="13" spans="1:12" ht="47.25">
      <c r="A13" s="17"/>
      <c r="B13" s="48" t="s">
        <v>296</v>
      </c>
      <c r="C13" s="18" t="s">
        <v>251</v>
      </c>
      <c r="D13" s="6">
        <v>42.653</v>
      </c>
      <c r="E13" s="1"/>
      <c r="F13" s="4">
        <v>5.146</v>
      </c>
      <c r="G13" s="5"/>
      <c r="H13" s="4">
        <f t="shared" si="0"/>
        <v>-37.507</v>
      </c>
      <c r="I13" s="1">
        <f t="shared" si="1"/>
        <v>12.064802006892833</v>
      </c>
      <c r="J13" s="2"/>
      <c r="L13" s="37"/>
    </row>
    <row r="14" spans="1:12" ht="31.5">
      <c r="A14" s="17" t="s">
        <v>295</v>
      </c>
      <c r="B14" s="48" t="s">
        <v>296</v>
      </c>
      <c r="C14" s="18" t="s">
        <v>119</v>
      </c>
      <c r="D14" s="6">
        <v>1142.398</v>
      </c>
      <c r="E14" s="1">
        <v>432.3</v>
      </c>
      <c r="F14" s="4">
        <v>469.53417</v>
      </c>
      <c r="G14" s="5">
        <f>F14-L12</f>
        <v>469.53417</v>
      </c>
      <c r="H14" s="4">
        <f t="shared" si="0"/>
        <v>-672.8638299999999</v>
      </c>
      <c r="I14" s="1">
        <f t="shared" si="1"/>
        <v>41.100752102157045</v>
      </c>
      <c r="J14" s="2"/>
      <c r="L14" s="37"/>
    </row>
    <row r="15" spans="1:12" ht="31.5">
      <c r="A15" s="17" t="s">
        <v>295</v>
      </c>
      <c r="B15" s="48" t="s">
        <v>296</v>
      </c>
      <c r="C15" s="7" t="s">
        <v>120</v>
      </c>
      <c r="D15" s="6">
        <v>1838.62908</v>
      </c>
      <c r="E15" s="1">
        <v>549.7</v>
      </c>
      <c r="F15" s="4">
        <v>804.7715</v>
      </c>
      <c r="G15" s="5">
        <f>F15-L14</f>
        <v>804.7715</v>
      </c>
      <c r="H15" s="4">
        <f t="shared" si="0"/>
        <v>-1033.8575799999999</v>
      </c>
      <c r="I15" s="1">
        <f t="shared" si="1"/>
        <v>43.770193170228765</v>
      </c>
      <c r="J15" s="2"/>
      <c r="L15" s="37"/>
    </row>
    <row r="16" spans="1:12" ht="47.25">
      <c r="A16" s="17" t="s">
        <v>295</v>
      </c>
      <c r="B16" s="48" t="s">
        <v>296</v>
      </c>
      <c r="C16" s="7" t="s">
        <v>121</v>
      </c>
      <c r="D16" s="6">
        <v>846.4</v>
      </c>
      <c r="E16" s="1">
        <v>309</v>
      </c>
      <c r="F16" s="4">
        <v>345.66525</v>
      </c>
      <c r="G16" s="5">
        <f>F16-L15</f>
        <v>345.66525</v>
      </c>
      <c r="H16" s="4">
        <f t="shared" si="0"/>
        <v>-500.73474999999996</v>
      </c>
      <c r="I16" s="1">
        <f t="shared" si="1"/>
        <v>40.83946715500946</v>
      </c>
      <c r="J16" s="2"/>
      <c r="L16" s="37"/>
    </row>
    <row r="17" spans="1:12" ht="31.5">
      <c r="A17" s="17" t="s">
        <v>295</v>
      </c>
      <c r="B17" s="48" t="s">
        <v>296</v>
      </c>
      <c r="C17" s="7" t="s">
        <v>122</v>
      </c>
      <c r="D17" s="6">
        <v>763.1878</v>
      </c>
      <c r="E17" s="1">
        <v>258.7</v>
      </c>
      <c r="F17" s="4">
        <v>354.26937</v>
      </c>
      <c r="G17" s="5">
        <f>F17-L16</f>
        <v>354.26937</v>
      </c>
      <c r="H17" s="4">
        <f t="shared" si="0"/>
        <v>-408.91843000000006</v>
      </c>
      <c r="I17" s="1">
        <f t="shared" si="1"/>
        <v>46.41968464380589</v>
      </c>
      <c r="J17" s="2"/>
      <c r="L17" s="37"/>
    </row>
    <row r="18" spans="1:12" ht="31.5">
      <c r="A18" s="17" t="s">
        <v>295</v>
      </c>
      <c r="B18" s="48" t="s">
        <v>296</v>
      </c>
      <c r="C18" s="18" t="s">
        <v>123</v>
      </c>
      <c r="D18" s="6">
        <v>441.5034</v>
      </c>
      <c r="E18" s="1">
        <v>132.9</v>
      </c>
      <c r="F18" s="4">
        <v>192.18463</v>
      </c>
      <c r="G18" s="5" t="e">
        <f>F18-#REF!</f>
        <v>#REF!</v>
      </c>
      <c r="H18" s="4">
        <f t="shared" si="0"/>
        <v>-249.31877</v>
      </c>
      <c r="I18" s="1">
        <f t="shared" si="1"/>
        <v>43.529592297590455</v>
      </c>
      <c r="J18" s="2"/>
      <c r="L18" s="37"/>
    </row>
    <row r="19" spans="1:12" ht="31.5">
      <c r="A19" s="17" t="s">
        <v>295</v>
      </c>
      <c r="B19" s="48" t="s">
        <v>296</v>
      </c>
      <c r="C19" s="18" t="s">
        <v>124</v>
      </c>
      <c r="D19" s="6">
        <v>389.85902</v>
      </c>
      <c r="E19" s="1">
        <v>128.8</v>
      </c>
      <c r="F19" s="4">
        <v>172.05288</v>
      </c>
      <c r="G19" s="5">
        <f>F19-L18</f>
        <v>172.05288</v>
      </c>
      <c r="H19" s="4">
        <f t="shared" si="0"/>
        <v>-217.80614</v>
      </c>
      <c r="I19" s="1">
        <f t="shared" si="1"/>
        <v>44.13207625669402</v>
      </c>
      <c r="J19" s="2"/>
      <c r="L19" s="2"/>
    </row>
    <row r="20" spans="1:12" ht="63">
      <c r="A20" s="17"/>
      <c r="B20" s="72" t="s">
        <v>478</v>
      </c>
      <c r="C20" s="55" t="s">
        <v>125</v>
      </c>
      <c r="D20" s="46">
        <v>36.31</v>
      </c>
      <c r="E20" s="46"/>
      <c r="F20" s="5">
        <v>0</v>
      </c>
      <c r="G20" s="5"/>
      <c r="H20" s="5">
        <f t="shared" si="0"/>
        <v>-36.31</v>
      </c>
      <c r="I20" s="6">
        <f t="shared" si="1"/>
        <v>0</v>
      </c>
      <c r="J20" s="2"/>
      <c r="L20" s="2"/>
    </row>
    <row r="21" spans="1:12" ht="15.75">
      <c r="A21" s="17" t="s">
        <v>297</v>
      </c>
      <c r="B21" s="64" t="s">
        <v>298</v>
      </c>
      <c r="C21" s="74" t="s">
        <v>99</v>
      </c>
      <c r="D21" s="6">
        <f>SUM(D22:D28)</f>
        <v>61752.00933</v>
      </c>
      <c r="E21" s="6">
        <f>SUM(E22:E28)</f>
        <v>21838.1</v>
      </c>
      <c r="F21" s="6">
        <f>SUM(F22:F28)</f>
        <v>32240.726020000002</v>
      </c>
      <c r="G21" s="6">
        <f>SUM(G22:G28)</f>
        <v>32240.726020000002</v>
      </c>
      <c r="H21" s="5">
        <f t="shared" si="0"/>
        <v>-29511.28331</v>
      </c>
      <c r="I21" s="6">
        <f t="shared" si="1"/>
        <v>52.210003155860065</v>
      </c>
      <c r="J21" s="2"/>
      <c r="L21" s="37"/>
    </row>
    <row r="22" spans="1:12" ht="15.75">
      <c r="A22" s="17" t="s">
        <v>357</v>
      </c>
      <c r="B22" s="64" t="s">
        <v>356</v>
      </c>
      <c r="C22" s="74" t="s">
        <v>393</v>
      </c>
      <c r="D22" s="6">
        <v>22210.87718</v>
      </c>
      <c r="E22" s="6">
        <v>7100.2</v>
      </c>
      <c r="F22" s="5">
        <v>10767.71047</v>
      </c>
      <c r="G22" s="5">
        <f>F22-L21</f>
        <v>10767.71047</v>
      </c>
      <c r="H22" s="5">
        <f t="shared" si="0"/>
        <v>-11443.16671</v>
      </c>
      <c r="I22" s="6">
        <f t="shared" si="1"/>
        <v>48.47944717688093</v>
      </c>
      <c r="J22" s="2"/>
      <c r="L22" s="37"/>
    </row>
    <row r="23" spans="1:12" ht="33" customHeight="1">
      <c r="A23" s="17"/>
      <c r="B23" s="64" t="s">
        <v>356</v>
      </c>
      <c r="C23" s="74" t="s">
        <v>126</v>
      </c>
      <c r="D23" s="6">
        <v>1.514</v>
      </c>
      <c r="E23" s="6"/>
      <c r="F23" s="5">
        <v>0</v>
      </c>
      <c r="G23" s="5"/>
      <c r="H23" s="5">
        <f t="shared" si="0"/>
        <v>-1.514</v>
      </c>
      <c r="I23" s="6">
        <f t="shared" si="1"/>
        <v>0</v>
      </c>
      <c r="J23" s="2"/>
      <c r="L23" s="37"/>
    </row>
    <row r="24" spans="1:12" ht="15.75">
      <c r="A24" s="17" t="s">
        <v>359</v>
      </c>
      <c r="B24" s="64" t="s">
        <v>358</v>
      </c>
      <c r="C24" s="74" t="s">
        <v>394</v>
      </c>
      <c r="D24" s="6">
        <f>32238.68869-2.5</f>
        <v>32236.18869</v>
      </c>
      <c r="E24" s="6">
        <v>12055.3</v>
      </c>
      <c r="F24" s="5">
        <v>18080.77232</v>
      </c>
      <c r="G24" s="5">
        <f>F24-L22</f>
        <v>18080.77232</v>
      </c>
      <c r="H24" s="5">
        <f t="shared" si="0"/>
        <v>-14155.416369999999</v>
      </c>
      <c r="I24" s="6">
        <f t="shared" si="1"/>
        <v>56.08843059542223</v>
      </c>
      <c r="J24" s="2"/>
      <c r="L24" s="37"/>
    </row>
    <row r="25" spans="1:12" ht="31.5">
      <c r="A25" s="17" t="s">
        <v>357</v>
      </c>
      <c r="B25" s="64" t="s">
        <v>457</v>
      </c>
      <c r="C25" s="74" t="s">
        <v>127</v>
      </c>
      <c r="D25" s="6">
        <v>230.5</v>
      </c>
      <c r="E25" s="6">
        <v>59.1</v>
      </c>
      <c r="F25" s="5">
        <v>133.56722</v>
      </c>
      <c r="G25" s="5">
        <f>F25-L24</f>
        <v>133.56722</v>
      </c>
      <c r="H25" s="5">
        <f t="shared" si="0"/>
        <v>-96.93278000000001</v>
      </c>
      <c r="I25" s="6">
        <f t="shared" si="1"/>
        <v>57.94673318872017</v>
      </c>
      <c r="J25" s="2"/>
      <c r="L25" s="37"/>
    </row>
    <row r="26" spans="1:12" ht="21.75" customHeight="1">
      <c r="A26" s="17" t="s">
        <v>361</v>
      </c>
      <c r="B26" s="64" t="s">
        <v>360</v>
      </c>
      <c r="C26" s="74" t="s">
        <v>395</v>
      </c>
      <c r="D26" s="6">
        <f>3224.958+6</f>
        <v>3230.958</v>
      </c>
      <c r="E26" s="6">
        <v>1069.7</v>
      </c>
      <c r="F26" s="5">
        <v>1504.86014</v>
      </c>
      <c r="G26" s="5">
        <f>F26-L25</f>
        <v>1504.86014</v>
      </c>
      <c r="H26" s="5">
        <f t="shared" si="0"/>
        <v>-1726.09786</v>
      </c>
      <c r="I26" s="6">
        <f t="shared" si="1"/>
        <v>46.57628294765825</v>
      </c>
      <c r="J26" s="2"/>
      <c r="L26" s="37"/>
    </row>
    <row r="27" spans="1:12" ht="19.5" customHeight="1" hidden="1">
      <c r="A27" s="17" t="s">
        <v>361</v>
      </c>
      <c r="B27" s="64" t="s">
        <v>360</v>
      </c>
      <c r="C27" s="74" t="s">
        <v>388</v>
      </c>
      <c r="D27" s="6"/>
      <c r="E27" s="6"/>
      <c r="F27" s="5"/>
      <c r="G27" s="5">
        <f>F27-L26</f>
        <v>0</v>
      </c>
      <c r="H27" s="5">
        <f t="shared" si="0"/>
        <v>0</v>
      </c>
      <c r="I27" s="6"/>
      <c r="J27" s="2"/>
      <c r="L27" s="37"/>
    </row>
    <row r="28" spans="1:12" ht="15.75">
      <c r="A28" s="17" t="s">
        <v>362</v>
      </c>
      <c r="B28" s="64" t="s">
        <v>363</v>
      </c>
      <c r="C28" s="74" t="s">
        <v>100</v>
      </c>
      <c r="D28" s="5">
        <f>SUM(D29:D35)</f>
        <v>3841.9714599999998</v>
      </c>
      <c r="E28" s="5">
        <f>SUM(E29:E35)</f>
        <v>1553.8000000000002</v>
      </c>
      <c r="F28" s="5">
        <f>SUM(F29:F35)</f>
        <v>1753.81587</v>
      </c>
      <c r="G28" s="5">
        <f>SUM(G29:G35)</f>
        <v>1753.81587</v>
      </c>
      <c r="H28" s="5">
        <f t="shared" si="0"/>
        <v>-2088.15559</v>
      </c>
      <c r="I28" s="6">
        <f aca="true" t="shared" si="2" ref="I28:I34">F28/D28*100</f>
        <v>45.64885211302428</v>
      </c>
      <c r="J28" s="2"/>
      <c r="L28" s="37"/>
    </row>
    <row r="29" spans="1:12" ht="24" customHeight="1">
      <c r="A29" s="17" t="s">
        <v>362</v>
      </c>
      <c r="B29" s="48" t="s">
        <v>375</v>
      </c>
      <c r="C29" s="18" t="s">
        <v>396</v>
      </c>
      <c r="D29" s="1">
        <f>630.073-5</f>
        <v>625.073</v>
      </c>
      <c r="E29" s="1">
        <v>171.2</v>
      </c>
      <c r="F29" s="4">
        <v>303.69545</v>
      </c>
      <c r="G29" s="5">
        <f aca="true" t="shared" si="3" ref="G29:G35">F29-L28</f>
        <v>303.69545</v>
      </c>
      <c r="H29" s="4">
        <f t="shared" si="0"/>
        <v>-321.37755</v>
      </c>
      <c r="I29" s="1">
        <f t="shared" si="2"/>
        <v>48.585597202246774</v>
      </c>
      <c r="J29" s="2"/>
      <c r="L29" s="37"/>
    </row>
    <row r="30" spans="1:12" ht="15.75">
      <c r="A30" s="17" t="s">
        <v>362</v>
      </c>
      <c r="B30" s="48" t="s">
        <v>376</v>
      </c>
      <c r="C30" s="18" t="s">
        <v>397</v>
      </c>
      <c r="D30" s="1">
        <f>1105.39375+3.4</f>
        <v>1108.79375</v>
      </c>
      <c r="E30" s="1">
        <v>275.5</v>
      </c>
      <c r="F30" s="4">
        <v>493.16559</v>
      </c>
      <c r="G30" s="5">
        <f t="shared" si="3"/>
        <v>493.16559</v>
      </c>
      <c r="H30" s="4">
        <f t="shared" si="0"/>
        <v>-615.62816</v>
      </c>
      <c r="I30" s="1">
        <f t="shared" si="2"/>
        <v>44.47766683389043</v>
      </c>
      <c r="J30" s="2"/>
      <c r="L30" s="37"/>
    </row>
    <row r="31" spans="1:12" ht="33" customHeight="1">
      <c r="A31" s="17" t="s">
        <v>362</v>
      </c>
      <c r="B31" s="48" t="s">
        <v>377</v>
      </c>
      <c r="C31" s="18" t="s">
        <v>398</v>
      </c>
      <c r="D31" s="1">
        <v>821.70071</v>
      </c>
      <c r="E31" s="1">
        <v>185</v>
      </c>
      <c r="F31" s="4">
        <v>398.12591</v>
      </c>
      <c r="G31" s="5">
        <f t="shared" si="3"/>
        <v>398.12591</v>
      </c>
      <c r="H31" s="4">
        <f t="shared" si="0"/>
        <v>-423.5748</v>
      </c>
      <c r="I31" s="1">
        <f t="shared" si="2"/>
        <v>48.451450163649</v>
      </c>
      <c r="J31" s="2"/>
      <c r="L31" s="37"/>
    </row>
    <row r="32" spans="1:12" ht="18.75" customHeight="1">
      <c r="A32" s="17" t="s">
        <v>362</v>
      </c>
      <c r="B32" s="48" t="s">
        <v>372</v>
      </c>
      <c r="C32" s="18" t="s">
        <v>399</v>
      </c>
      <c r="D32" s="1">
        <v>1046.053</v>
      </c>
      <c r="E32" s="1">
        <v>439.2</v>
      </c>
      <c r="F32" s="4">
        <v>512.10656</v>
      </c>
      <c r="G32" s="5">
        <f t="shared" si="3"/>
        <v>512.10656</v>
      </c>
      <c r="H32" s="4">
        <f t="shared" si="0"/>
        <v>-533.9464400000002</v>
      </c>
      <c r="I32" s="1">
        <f t="shared" si="2"/>
        <v>48.956081575216544</v>
      </c>
      <c r="J32" s="2"/>
      <c r="L32" s="37"/>
    </row>
    <row r="33" spans="1:12" ht="35.25" customHeight="1">
      <c r="A33" s="17" t="s">
        <v>362</v>
      </c>
      <c r="B33" s="48" t="s">
        <v>434</v>
      </c>
      <c r="C33" s="18" t="s">
        <v>128</v>
      </c>
      <c r="D33" s="1">
        <v>233.111</v>
      </c>
      <c r="E33" s="1">
        <v>76</v>
      </c>
      <c r="F33" s="4">
        <v>45.62236</v>
      </c>
      <c r="G33" s="5">
        <f t="shared" si="3"/>
        <v>45.62236</v>
      </c>
      <c r="H33" s="4">
        <f t="shared" si="0"/>
        <v>-187.48863999999998</v>
      </c>
      <c r="I33" s="1">
        <f t="shared" si="2"/>
        <v>19.57108845142443</v>
      </c>
      <c r="J33" s="2"/>
      <c r="L33" s="37"/>
    </row>
    <row r="34" spans="1:12" ht="30" customHeight="1">
      <c r="A34" s="19" t="s">
        <v>362</v>
      </c>
      <c r="B34" s="49" t="s">
        <v>422</v>
      </c>
      <c r="C34" s="7" t="s">
        <v>423</v>
      </c>
      <c r="D34" s="1">
        <v>7.24</v>
      </c>
      <c r="E34" s="1">
        <v>4</v>
      </c>
      <c r="F34" s="4">
        <v>1.1</v>
      </c>
      <c r="G34" s="5">
        <f t="shared" si="3"/>
        <v>1.1</v>
      </c>
      <c r="H34" s="4">
        <f t="shared" si="0"/>
        <v>-6.140000000000001</v>
      </c>
      <c r="I34" s="1">
        <f t="shared" si="2"/>
        <v>15.193370165745856</v>
      </c>
      <c r="J34" s="2"/>
      <c r="L34" s="37"/>
    </row>
    <row r="35" spans="1:12" ht="1.5" customHeight="1" hidden="1">
      <c r="A35" s="19" t="s">
        <v>362</v>
      </c>
      <c r="B35" s="49" t="s">
        <v>430</v>
      </c>
      <c r="C35" s="18" t="s">
        <v>460</v>
      </c>
      <c r="D35" s="1"/>
      <c r="E35" s="1">
        <v>402.9</v>
      </c>
      <c r="F35" s="4"/>
      <c r="G35" s="5">
        <f t="shared" si="3"/>
        <v>0</v>
      </c>
      <c r="H35" s="4"/>
      <c r="I35" s="1"/>
      <c r="J35" s="2"/>
      <c r="K35" s="2"/>
      <c r="L35" s="2"/>
    </row>
    <row r="36" spans="1:12" ht="15.75" hidden="1">
      <c r="A36" s="17" t="s">
        <v>400</v>
      </c>
      <c r="B36" s="48" t="s">
        <v>299</v>
      </c>
      <c r="C36" s="18" t="s">
        <v>401</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345</v>
      </c>
      <c r="B37" s="48" t="s">
        <v>346</v>
      </c>
      <c r="C37" s="7" t="s">
        <v>426</v>
      </c>
      <c r="D37" s="1"/>
      <c r="E37" s="1"/>
      <c r="F37" s="4"/>
      <c r="G37" s="5">
        <f>F37-L36</f>
        <v>0</v>
      </c>
      <c r="H37" s="4">
        <f t="shared" si="4"/>
        <v>0</v>
      </c>
      <c r="I37" s="1" t="e">
        <f t="shared" si="5"/>
        <v>#DIV/0!</v>
      </c>
      <c r="J37" s="2"/>
      <c r="L37" s="2"/>
    </row>
    <row r="38" spans="1:12" ht="33.75" customHeight="1">
      <c r="A38" s="17" t="s">
        <v>402</v>
      </c>
      <c r="B38" s="64" t="s">
        <v>300</v>
      </c>
      <c r="C38" s="55" t="s">
        <v>101</v>
      </c>
      <c r="D38" s="6">
        <f>D39+D52+D90+D92+D103+D109+D60+D91</f>
        <v>36660.60464000001</v>
      </c>
      <c r="E38" s="6">
        <f>E39+E52+E90+E92+E103+E109+E60+E91</f>
        <v>5469.299999999999</v>
      </c>
      <c r="F38" s="6">
        <f>F39+F52+F60+F90+F91+F92+F103+F109</f>
        <v>16602.54779</v>
      </c>
      <c r="G38" s="6" t="e">
        <f>G39+G52+G61+G62+#REF!+G83+G86+G89+G90+G92+G103+G110</f>
        <v>#REF!</v>
      </c>
      <c r="H38" s="5">
        <f t="shared" si="4"/>
        <v>-20058.05685000001</v>
      </c>
      <c r="I38" s="6">
        <f t="shared" si="5"/>
        <v>45.28716302699801</v>
      </c>
      <c r="J38" s="2"/>
      <c r="L38" s="2"/>
    </row>
    <row r="39" spans="1:12" ht="31.5">
      <c r="A39" s="17"/>
      <c r="B39" s="79" t="s">
        <v>440</v>
      </c>
      <c r="C39" s="74" t="s">
        <v>102</v>
      </c>
      <c r="D39" s="6">
        <f>SUM(D40:D51)</f>
        <v>3645.6000000000004</v>
      </c>
      <c r="E39" s="6">
        <f>SUM(E40:E51)</f>
        <v>1141.1</v>
      </c>
      <c r="F39" s="6">
        <f>SUM(F40:F51)</f>
        <v>1270.5444400000001</v>
      </c>
      <c r="G39" s="6">
        <f>SUM(G40:G50)</f>
        <v>1192.15271</v>
      </c>
      <c r="H39" s="5">
        <f t="shared" si="4"/>
        <v>-2375.0555600000002</v>
      </c>
      <c r="I39" s="6">
        <f t="shared" si="5"/>
        <v>34.851449418477074</v>
      </c>
      <c r="J39" s="2"/>
      <c r="L39" s="37"/>
    </row>
    <row r="40" spans="1:12" ht="78.75">
      <c r="A40" s="17" t="s">
        <v>301</v>
      </c>
      <c r="B40" s="64" t="s">
        <v>302</v>
      </c>
      <c r="C40" s="83" t="s">
        <v>239</v>
      </c>
      <c r="D40" s="6">
        <v>1600</v>
      </c>
      <c r="E40" s="6">
        <v>482.5</v>
      </c>
      <c r="F40" s="5">
        <v>500.16179</v>
      </c>
      <c r="G40" s="5">
        <f aca="true" t="shared" si="6" ref="G40:G50">F40-L39</f>
        <v>500.16179</v>
      </c>
      <c r="H40" s="5">
        <f t="shared" si="4"/>
        <v>-1099.83821</v>
      </c>
      <c r="I40" s="6">
        <f t="shared" si="5"/>
        <v>31.260111875000003</v>
      </c>
      <c r="J40" s="2"/>
      <c r="L40" s="37"/>
    </row>
    <row r="41" spans="1:12" ht="78.75">
      <c r="A41" s="17" t="s">
        <v>301</v>
      </c>
      <c r="B41" s="64" t="s">
        <v>348</v>
      </c>
      <c r="C41" s="82" t="s">
        <v>239</v>
      </c>
      <c r="D41" s="6">
        <v>2</v>
      </c>
      <c r="E41" s="6">
        <v>10.7</v>
      </c>
      <c r="F41" s="5">
        <v>0.2</v>
      </c>
      <c r="G41" s="5">
        <f t="shared" si="6"/>
        <v>0.2</v>
      </c>
      <c r="H41" s="5">
        <f t="shared" si="4"/>
        <v>-1.8</v>
      </c>
      <c r="I41" s="6">
        <f t="shared" si="5"/>
        <v>10</v>
      </c>
      <c r="J41" s="2"/>
      <c r="L41" s="37"/>
    </row>
    <row r="42" spans="1:12" ht="78.75">
      <c r="A42" s="17" t="s">
        <v>301</v>
      </c>
      <c r="B42" s="64" t="s">
        <v>349</v>
      </c>
      <c r="C42" s="82" t="s">
        <v>240</v>
      </c>
      <c r="D42" s="6">
        <v>16</v>
      </c>
      <c r="E42" s="6">
        <v>105.6</v>
      </c>
      <c r="F42" s="5">
        <v>3.34</v>
      </c>
      <c r="G42" s="5">
        <f t="shared" si="6"/>
        <v>3.34</v>
      </c>
      <c r="H42" s="5">
        <f t="shared" si="4"/>
        <v>-12.66</v>
      </c>
      <c r="I42" s="6">
        <f t="shared" si="5"/>
        <v>20.875</v>
      </c>
      <c r="J42" s="2"/>
      <c r="L42" s="37"/>
    </row>
    <row r="43" spans="1:12" ht="78.75">
      <c r="A43" s="17" t="s">
        <v>301</v>
      </c>
      <c r="B43" s="64" t="s">
        <v>350</v>
      </c>
      <c r="C43" s="84" t="s">
        <v>241</v>
      </c>
      <c r="D43" s="6">
        <v>396.8</v>
      </c>
      <c r="E43" s="6">
        <v>108.4</v>
      </c>
      <c r="F43" s="5">
        <v>146.44621</v>
      </c>
      <c r="G43" s="5">
        <f t="shared" si="6"/>
        <v>146.44621</v>
      </c>
      <c r="H43" s="5">
        <f t="shared" si="4"/>
        <v>-250.35379</v>
      </c>
      <c r="I43" s="6">
        <f t="shared" si="5"/>
        <v>36.90680695564516</v>
      </c>
      <c r="J43" s="2"/>
      <c r="L43" s="37"/>
    </row>
    <row r="44" spans="1:12" ht="67.5" customHeight="1" hidden="1">
      <c r="A44" s="17" t="s">
        <v>301</v>
      </c>
      <c r="B44" s="64" t="s">
        <v>429</v>
      </c>
      <c r="C44" s="81" t="s">
        <v>11</v>
      </c>
      <c r="D44" s="6">
        <v>0</v>
      </c>
      <c r="E44" s="6">
        <v>0.2</v>
      </c>
      <c r="F44" s="5">
        <v>0</v>
      </c>
      <c r="G44" s="5">
        <f t="shared" si="6"/>
        <v>0</v>
      </c>
      <c r="H44" s="5">
        <f t="shared" si="4"/>
        <v>0</v>
      </c>
      <c r="I44" s="6" t="e">
        <f t="shared" si="5"/>
        <v>#DIV/0!</v>
      </c>
      <c r="J44" s="2"/>
      <c r="L44" s="37"/>
    </row>
    <row r="45" spans="1:12" ht="0.75" customHeight="1" hidden="1">
      <c r="A45" s="17" t="s">
        <v>301</v>
      </c>
      <c r="B45" s="64" t="s">
        <v>387</v>
      </c>
      <c r="C45" s="63" t="s">
        <v>6</v>
      </c>
      <c r="D45" s="6"/>
      <c r="E45" s="6">
        <v>5</v>
      </c>
      <c r="F45" s="5"/>
      <c r="G45" s="5">
        <f t="shared" si="6"/>
        <v>0</v>
      </c>
      <c r="H45" s="5">
        <f t="shared" si="4"/>
        <v>0</v>
      </c>
      <c r="I45" s="6" t="e">
        <f t="shared" si="5"/>
        <v>#DIV/0!</v>
      </c>
      <c r="J45" s="2"/>
      <c r="L45" s="37"/>
    </row>
    <row r="46" spans="1:12" ht="77.25" customHeight="1">
      <c r="A46" s="17" t="s">
        <v>326</v>
      </c>
      <c r="B46" s="64" t="s">
        <v>368</v>
      </c>
      <c r="C46" s="83" t="s">
        <v>142</v>
      </c>
      <c r="D46" s="6">
        <v>1000</v>
      </c>
      <c r="E46" s="6">
        <v>286.4</v>
      </c>
      <c r="F46" s="5">
        <v>360.08786</v>
      </c>
      <c r="G46" s="5">
        <f t="shared" si="6"/>
        <v>360.08786</v>
      </c>
      <c r="H46" s="5">
        <f t="shared" si="4"/>
        <v>-639.91214</v>
      </c>
      <c r="I46" s="6">
        <f t="shared" si="5"/>
        <v>36.008786</v>
      </c>
      <c r="J46" s="2"/>
      <c r="L46" s="37"/>
    </row>
    <row r="47" spans="1:12" ht="73.5" customHeight="1">
      <c r="A47" s="17" t="s">
        <v>326</v>
      </c>
      <c r="B47" s="64" t="s">
        <v>433</v>
      </c>
      <c r="C47" s="82" t="s">
        <v>143</v>
      </c>
      <c r="D47" s="6">
        <v>0.5</v>
      </c>
      <c r="E47" s="6">
        <v>0.3</v>
      </c>
      <c r="F47" s="5">
        <v>0</v>
      </c>
      <c r="G47" s="5">
        <f t="shared" si="6"/>
        <v>0</v>
      </c>
      <c r="H47" s="5">
        <f t="shared" si="4"/>
        <v>-0.5</v>
      </c>
      <c r="I47" s="6">
        <f t="shared" si="5"/>
        <v>0</v>
      </c>
      <c r="J47" s="2"/>
      <c r="L47" s="37"/>
    </row>
    <row r="48" spans="1:12" ht="60" customHeight="1">
      <c r="A48" s="17" t="s">
        <v>326</v>
      </c>
      <c r="B48" s="64" t="s">
        <v>369</v>
      </c>
      <c r="C48" s="82" t="s">
        <v>144</v>
      </c>
      <c r="D48" s="6">
        <v>30</v>
      </c>
      <c r="E48" s="6">
        <v>56.5</v>
      </c>
      <c r="F48" s="5">
        <v>9.67506</v>
      </c>
      <c r="G48" s="5">
        <f t="shared" si="6"/>
        <v>9.67506</v>
      </c>
      <c r="H48" s="5">
        <f t="shared" si="4"/>
        <v>-20.324939999999998</v>
      </c>
      <c r="I48" s="6">
        <f t="shared" si="5"/>
        <v>32.2502</v>
      </c>
      <c r="J48" s="2"/>
      <c r="L48" s="37"/>
    </row>
    <row r="49" spans="1:12" ht="48.75" customHeight="1">
      <c r="A49" s="17" t="s">
        <v>326</v>
      </c>
      <c r="B49" s="64" t="s">
        <v>439</v>
      </c>
      <c r="C49" s="82" t="s">
        <v>145</v>
      </c>
      <c r="D49" s="6">
        <v>165.3</v>
      </c>
      <c r="E49" s="6">
        <v>50.6</v>
      </c>
      <c r="F49" s="5">
        <v>82.82007</v>
      </c>
      <c r="G49" s="5">
        <f t="shared" si="6"/>
        <v>82.82007</v>
      </c>
      <c r="H49" s="5">
        <f t="shared" si="4"/>
        <v>-82.47993000000001</v>
      </c>
      <c r="I49" s="6">
        <f t="shared" si="5"/>
        <v>50.10288566243194</v>
      </c>
      <c r="J49" s="2"/>
      <c r="L49" s="37"/>
    </row>
    <row r="50" spans="1:12" ht="31.5">
      <c r="A50" s="17" t="s">
        <v>326</v>
      </c>
      <c r="B50" s="64" t="s">
        <v>459</v>
      </c>
      <c r="C50" s="82" t="s">
        <v>146</v>
      </c>
      <c r="D50" s="6">
        <v>215</v>
      </c>
      <c r="E50" s="6">
        <v>34.9</v>
      </c>
      <c r="F50" s="5">
        <v>89.42172</v>
      </c>
      <c r="G50" s="5">
        <f t="shared" si="6"/>
        <v>89.42172</v>
      </c>
      <c r="H50" s="5">
        <f t="shared" si="4"/>
        <v>-125.57828</v>
      </c>
      <c r="I50" s="6">
        <f t="shared" si="5"/>
        <v>41.591497674418605</v>
      </c>
      <c r="J50" s="2"/>
      <c r="K50" s="2"/>
      <c r="L50" s="2"/>
    </row>
    <row r="51" spans="1:12" ht="18.75" customHeight="1">
      <c r="A51" s="17" t="s">
        <v>326</v>
      </c>
      <c r="B51" s="64" t="s">
        <v>14</v>
      </c>
      <c r="C51" s="83" t="s">
        <v>147</v>
      </c>
      <c r="D51" s="6">
        <v>220</v>
      </c>
      <c r="E51" s="6"/>
      <c r="F51" s="5">
        <v>78.39173</v>
      </c>
      <c r="G51" s="5"/>
      <c r="H51" s="5">
        <f t="shared" si="4"/>
        <v>-141.60827</v>
      </c>
      <c r="I51" s="6">
        <f t="shared" si="5"/>
        <v>35.63260454545454</v>
      </c>
      <c r="J51" s="2"/>
      <c r="K51" s="2"/>
      <c r="L51" s="2"/>
    </row>
    <row r="52" spans="1:12" ht="31.5">
      <c r="A52" s="17"/>
      <c r="B52" s="79" t="s">
        <v>441</v>
      </c>
      <c r="C52" s="63" t="s">
        <v>103</v>
      </c>
      <c r="D52" s="6">
        <f>SUM(D53:D59)</f>
        <v>24840.733000000004</v>
      </c>
      <c r="E52" s="6">
        <f>SUM(E53:E59)</f>
        <v>1842.6999999999998</v>
      </c>
      <c r="F52" s="6">
        <f>SUM(F53:F59)</f>
        <v>11487.062750000001</v>
      </c>
      <c r="G52" s="6">
        <f>SUM(G53:G57)</f>
        <v>11212.917950000001</v>
      </c>
      <c r="H52" s="5">
        <f t="shared" si="4"/>
        <v>-13353.670250000003</v>
      </c>
      <c r="I52" s="6">
        <f t="shared" si="5"/>
        <v>46.24284939578876</v>
      </c>
      <c r="J52" s="2"/>
      <c r="L52" s="38"/>
    </row>
    <row r="53" spans="1:12" ht="19.5" customHeight="1">
      <c r="A53" s="17" t="s">
        <v>304</v>
      </c>
      <c r="B53" s="64" t="s">
        <v>351</v>
      </c>
      <c r="C53" s="55" t="s">
        <v>148</v>
      </c>
      <c r="D53" s="6">
        <v>300</v>
      </c>
      <c r="E53" s="6">
        <v>73.9</v>
      </c>
      <c r="F53" s="5">
        <v>139.86786</v>
      </c>
      <c r="G53" s="5">
        <f aca="true" t="shared" si="7" ref="G53:G58">F53-L52</f>
        <v>139.86786</v>
      </c>
      <c r="H53" s="5">
        <f t="shared" si="4"/>
        <v>-160.13214</v>
      </c>
      <c r="I53" s="6">
        <f t="shared" si="5"/>
        <v>46.622620000000005</v>
      </c>
      <c r="J53" s="2"/>
      <c r="L53" s="37"/>
    </row>
    <row r="54" spans="1:12" ht="19.5" customHeight="1">
      <c r="A54" s="17" t="s">
        <v>304</v>
      </c>
      <c r="B54" s="64" t="s">
        <v>352</v>
      </c>
      <c r="C54" s="55" t="s">
        <v>149</v>
      </c>
      <c r="D54" s="6">
        <v>4320</v>
      </c>
      <c r="E54" s="6">
        <v>616.3</v>
      </c>
      <c r="F54" s="5">
        <v>2027.48455</v>
      </c>
      <c r="G54" s="5">
        <f t="shared" si="7"/>
        <v>2027.48455</v>
      </c>
      <c r="H54" s="5">
        <f t="shared" si="4"/>
        <v>-2292.51545</v>
      </c>
      <c r="I54" s="6">
        <f t="shared" si="5"/>
        <v>46.93251273148148</v>
      </c>
      <c r="J54" s="2"/>
      <c r="L54" s="37"/>
    </row>
    <row r="55" spans="1:12" ht="18.75" customHeight="1">
      <c r="A55" s="17" t="s">
        <v>304</v>
      </c>
      <c r="B55" s="64" t="s">
        <v>353</v>
      </c>
      <c r="C55" s="55" t="s">
        <v>150</v>
      </c>
      <c r="D55" s="6">
        <v>15447.722</v>
      </c>
      <c r="E55" s="6">
        <v>640.5</v>
      </c>
      <c r="F55" s="5">
        <v>6969.39081</v>
      </c>
      <c r="G55" s="5">
        <f t="shared" si="7"/>
        <v>6969.39081</v>
      </c>
      <c r="H55" s="5">
        <f t="shared" si="4"/>
        <v>-8478.33119</v>
      </c>
      <c r="I55" s="6">
        <f t="shared" si="5"/>
        <v>45.11597768266415</v>
      </c>
      <c r="J55" s="2"/>
      <c r="L55" s="37"/>
    </row>
    <row r="56" spans="1:12" ht="31.5">
      <c r="A56" s="17" t="s">
        <v>304</v>
      </c>
      <c r="B56" s="64" t="s">
        <v>354</v>
      </c>
      <c r="C56" s="55" t="s">
        <v>151</v>
      </c>
      <c r="D56" s="6">
        <v>1800</v>
      </c>
      <c r="E56" s="6">
        <v>137.2</v>
      </c>
      <c r="F56" s="5">
        <v>865.69605</v>
      </c>
      <c r="G56" s="5">
        <f t="shared" si="7"/>
        <v>865.69605</v>
      </c>
      <c r="H56" s="5">
        <f t="shared" si="4"/>
        <v>-934.30395</v>
      </c>
      <c r="I56" s="6">
        <f t="shared" si="5"/>
        <v>48.094225</v>
      </c>
      <c r="J56" s="2"/>
      <c r="L56" s="37"/>
    </row>
    <row r="57" spans="1:12" ht="18.75" customHeight="1">
      <c r="A57" s="17" t="s">
        <v>304</v>
      </c>
      <c r="B57" s="64" t="s">
        <v>355</v>
      </c>
      <c r="C57" s="55" t="s">
        <v>152</v>
      </c>
      <c r="D57" s="6">
        <v>2400</v>
      </c>
      <c r="E57" s="6">
        <v>336.9</v>
      </c>
      <c r="F57" s="5">
        <v>1210.47868</v>
      </c>
      <c r="G57" s="5">
        <f t="shared" si="7"/>
        <v>1210.47868</v>
      </c>
      <c r="H57" s="5">
        <f t="shared" si="4"/>
        <v>-1189.52132</v>
      </c>
      <c r="I57" s="6">
        <f t="shared" si="5"/>
        <v>50.436611666666664</v>
      </c>
      <c r="J57" s="2"/>
      <c r="L57" s="37"/>
    </row>
    <row r="58" spans="1:12" ht="20.25" customHeight="1">
      <c r="A58" s="17" t="s">
        <v>304</v>
      </c>
      <c r="B58" s="64" t="s">
        <v>436</v>
      </c>
      <c r="C58" s="55" t="s">
        <v>153</v>
      </c>
      <c r="D58" s="6">
        <v>530.9</v>
      </c>
      <c r="E58" s="6">
        <v>37.9</v>
      </c>
      <c r="F58" s="5">
        <v>243.52478</v>
      </c>
      <c r="G58" s="5">
        <f t="shared" si="7"/>
        <v>243.52478</v>
      </c>
      <c r="H58" s="5">
        <f t="shared" si="4"/>
        <v>-287.37522</v>
      </c>
      <c r="I58" s="6">
        <f t="shared" si="5"/>
        <v>45.87017894142023</v>
      </c>
      <c r="J58" s="2"/>
      <c r="L58" s="37"/>
    </row>
    <row r="59" spans="1:12" ht="17.25" customHeight="1">
      <c r="A59" s="17" t="s">
        <v>304</v>
      </c>
      <c r="B59" s="64" t="s">
        <v>13</v>
      </c>
      <c r="C59" s="55" t="s">
        <v>154</v>
      </c>
      <c r="D59" s="6">
        <v>42.111</v>
      </c>
      <c r="E59" s="6"/>
      <c r="F59" s="5">
        <v>30.62002</v>
      </c>
      <c r="G59" s="5"/>
      <c r="H59" s="5">
        <f t="shared" si="4"/>
        <v>-11.490979999999997</v>
      </c>
      <c r="I59" s="6">
        <f t="shared" si="5"/>
        <v>72.71264040274514</v>
      </c>
      <c r="J59" s="2"/>
      <c r="L59" s="37"/>
    </row>
    <row r="60" spans="1:12" ht="18" customHeight="1">
      <c r="A60" s="17"/>
      <c r="B60" s="64" t="s">
        <v>461</v>
      </c>
      <c r="C60" s="63" t="s">
        <v>104</v>
      </c>
      <c r="D60" s="6">
        <f>D61+D62+D64+D83+D86+D89+D66+D87+D88+D65+D81+D63+D82+D84+D85</f>
        <v>2623.3824199999995</v>
      </c>
      <c r="E60" s="6">
        <f>E61+E62+E64+E83+E86+E89+E66+E87+E88+E65+E81+E63+E82+E84+E85</f>
        <v>949.1999999999999</v>
      </c>
      <c r="F60" s="6">
        <f>F61+F62+F64+F83+F86+F89+F66+F87+F88+F65+F81+F63+F82+F84+F85</f>
        <v>1308.5944</v>
      </c>
      <c r="G60" s="6">
        <f>G61+G62+G64+G83+G86+G89+G66+G87+G88+G65+G81</f>
        <v>1208.05667</v>
      </c>
      <c r="H60" s="5">
        <f t="shared" si="4"/>
        <v>-1314.7880199999995</v>
      </c>
      <c r="I60" s="6">
        <f t="shared" si="5"/>
        <v>49.88195354301415</v>
      </c>
      <c r="J60" s="2"/>
      <c r="L60" s="37"/>
    </row>
    <row r="61" spans="1:12" ht="30.75" customHeight="1">
      <c r="A61" s="17" t="s">
        <v>304</v>
      </c>
      <c r="B61" s="64" t="s">
        <v>305</v>
      </c>
      <c r="C61" s="55" t="s">
        <v>155</v>
      </c>
      <c r="D61" s="6">
        <v>794.867</v>
      </c>
      <c r="E61" s="6">
        <v>256.9</v>
      </c>
      <c r="F61" s="5">
        <v>567.97986</v>
      </c>
      <c r="G61" s="5">
        <f>F61-L60</f>
        <v>567.97986</v>
      </c>
      <c r="H61" s="5">
        <f t="shared" si="4"/>
        <v>-226.88713999999993</v>
      </c>
      <c r="I61" s="6">
        <f t="shared" si="5"/>
        <v>71.45596181499548</v>
      </c>
      <c r="J61" s="2"/>
      <c r="L61" s="37"/>
    </row>
    <row r="62" spans="1:12" ht="48" customHeight="1">
      <c r="A62" s="17" t="s">
        <v>303</v>
      </c>
      <c r="B62" s="64" t="s">
        <v>336</v>
      </c>
      <c r="C62" s="55" t="s">
        <v>156</v>
      </c>
      <c r="D62" s="6">
        <v>520</v>
      </c>
      <c r="E62" s="6">
        <v>28.4</v>
      </c>
      <c r="F62" s="5">
        <v>213.50235</v>
      </c>
      <c r="G62" s="5">
        <f>F62-L61</f>
        <v>213.50235</v>
      </c>
      <c r="H62" s="5">
        <f t="shared" si="4"/>
        <v>-306.49765</v>
      </c>
      <c r="I62" s="6">
        <f t="shared" si="5"/>
        <v>41.05814423076923</v>
      </c>
      <c r="J62" s="2"/>
      <c r="L62" s="2"/>
    </row>
    <row r="63" spans="1:12" ht="47.25">
      <c r="A63" s="17"/>
      <c r="B63" s="64" t="s">
        <v>41</v>
      </c>
      <c r="C63" s="55" t="s">
        <v>157</v>
      </c>
      <c r="D63" s="6">
        <v>0.6</v>
      </c>
      <c r="E63" s="6"/>
      <c r="F63" s="6">
        <v>0</v>
      </c>
      <c r="G63" s="5"/>
      <c r="H63" s="5">
        <f t="shared" si="4"/>
        <v>-0.6</v>
      </c>
      <c r="I63" s="6">
        <f t="shared" si="5"/>
        <v>0</v>
      </c>
      <c r="J63" s="2"/>
      <c r="L63" s="2"/>
    </row>
    <row r="64" spans="1:12" ht="34.5" customHeight="1">
      <c r="A64" s="17" t="s">
        <v>308</v>
      </c>
      <c r="B64" s="64" t="s">
        <v>309</v>
      </c>
      <c r="C64" s="74" t="s">
        <v>158</v>
      </c>
      <c r="D64" s="6">
        <v>969.13942</v>
      </c>
      <c r="E64" s="6">
        <v>605.1</v>
      </c>
      <c r="F64" s="6">
        <v>342.54032</v>
      </c>
      <c r="G64" s="5">
        <f>F64-L63</f>
        <v>342.54032</v>
      </c>
      <c r="H64" s="5">
        <f t="shared" si="4"/>
        <v>-626.5990999999999</v>
      </c>
      <c r="I64" s="6">
        <f t="shared" si="5"/>
        <v>35.34479280597213</v>
      </c>
      <c r="J64" s="2"/>
      <c r="L64" s="39"/>
    </row>
    <row r="65" spans="1:12" ht="31.5">
      <c r="A65" s="17" t="s">
        <v>308</v>
      </c>
      <c r="B65" s="64" t="s">
        <v>309</v>
      </c>
      <c r="C65" s="74" t="s">
        <v>159</v>
      </c>
      <c r="D65" s="6">
        <v>37.486</v>
      </c>
      <c r="E65" s="6"/>
      <c r="F65" s="6">
        <v>35.2854</v>
      </c>
      <c r="G65" s="5"/>
      <c r="H65" s="5">
        <f t="shared" si="4"/>
        <v>-2.2005999999999943</v>
      </c>
      <c r="I65" s="6">
        <f t="shared" si="5"/>
        <v>94.12954169556636</v>
      </c>
      <c r="J65" s="2"/>
      <c r="L65" s="39"/>
    </row>
    <row r="66" spans="1:12" ht="33" customHeight="1">
      <c r="A66" s="17" t="s">
        <v>308</v>
      </c>
      <c r="B66" s="64" t="s">
        <v>309</v>
      </c>
      <c r="C66" s="74" t="s">
        <v>160</v>
      </c>
      <c r="D66" s="6">
        <v>90</v>
      </c>
      <c r="E66" s="6">
        <v>13</v>
      </c>
      <c r="F66" s="5">
        <v>29.9913</v>
      </c>
      <c r="G66" s="5">
        <f>F66-L64</f>
        <v>29.9913</v>
      </c>
      <c r="H66" s="5">
        <f t="shared" si="4"/>
        <v>-60.008700000000005</v>
      </c>
      <c r="I66" s="6">
        <f t="shared" si="5"/>
        <v>33.32366666666667</v>
      </c>
      <c r="J66" s="2"/>
      <c r="L66" s="39"/>
    </row>
    <row r="67" spans="1:12" ht="30" customHeight="1" hidden="1">
      <c r="A67" s="17" t="s">
        <v>308</v>
      </c>
      <c r="B67" s="64" t="s">
        <v>309</v>
      </c>
      <c r="C67" s="74" t="s">
        <v>77</v>
      </c>
      <c r="D67" s="6"/>
      <c r="E67" s="6">
        <v>13</v>
      </c>
      <c r="F67" s="5"/>
      <c r="G67" s="5">
        <f aca="true" t="shared" si="8" ref="G67:G80">F67-L66</f>
        <v>0</v>
      </c>
      <c r="H67" s="5">
        <f t="shared" si="4"/>
        <v>0</v>
      </c>
      <c r="I67" s="6" t="e">
        <f t="shared" si="5"/>
        <v>#DIV/0!</v>
      </c>
      <c r="J67" s="2"/>
      <c r="L67" s="39"/>
    </row>
    <row r="68" spans="1:12" ht="30.75" customHeight="1" hidden="1">
      <c r="A68" s="17" t="s">
        <v>308</v>
      </c>
      <c r="B68" s="64" t="s">
        <v>309</v>
      </c>
      <c r="C68" s="74" t="s">
        <v>410</v>
      </c>
      <c r="D68" s="6"/>
      <c r="E68" s="6">
        <v>5</v>
      </c>
      <c r="F68" s="5"/>
      <c r="G68" s="5">
        <f t="shared" si="8"/>
        <v>0</v>
      </c>
      <c r="H68" s="5">
        <f aca="true" t="shared" si="9" ref="H68:H91">F68-D68</f>
        <v>0</v>
      </c>
      <c r="I68" s="6" t="e">
        <f aca="true" t="shared" si="10" ref="I68:I101">F68/D68*100</f>
        <v>#DIV/0!</v>
      </c>
      <c r="J68" s="2"/>
      <c r="L68" s="39"/>
    </row>
    <row r="69" spans="1:12" ht="31.5" customHeight="1" hidden="1">
      <c r="A69" s="17" t="s">
        <v>308</v>
      </c>
      <c r="B69" s="64" t="s">
        <v>309</v>
      </c>
      <c r="C69" s="74" t="s">
        <v>386</v>
      </c>
      <c r="D69" s="6"/>
      <c r="E69" s="6">
        <v>3</v>
      </c>
      <c r="F69" s="5"/>
      <c r="G69" s="5">
        <f t="shared" si="8"/>
        <v>0</v>
      </c>
      <c r="H69" s="5">
        <f t="shared" si="9"/>
        <v>0</v>
      </c>
      <c r="I69" s="6" t="e">
        <f t="shared" si="10"/>
        <v>#DIV/0!</v>
      </c>
      <c r="J69" s="2"/>
      <c r="L69" s="39"/>
    </row>
    <row r="70" spans="1:12" ht="33" customHeight="1" hidden="1">
      <c r="A70" s="17" t="s">
        <v>308</v>
      </c>
      <c r="B70" s="64" t="s">
        <v>309</v>
      </c>
      <c r="C70" s="74" t="s">
        <v>381</v>
      </c>
      <c r="D70" s="6"/>
      <c r="E70" s="6">
        <v>5</v>
      </c>
      <c r="F70" s="5"/>
      <c r="G70" s="5">
        <f t="shared" si="8"/>
        <v>0</v>
      </c>
      <c r="H70" s="5">
        <f t="shared" si="9"/>
        <v>0</v>
      </c>
      <c r="I70" s="6" t="e">
        <f t="shared" si="10"/>
        <v>#DIV/0!</v>
      </c>
      <c r="J70" s="2"/>
      <c r="L70" s="39"/>
    </row>
    <row r="71" spans="1:12" ht="29.25" customHeight="1" hidden="1">
      <c r="A71" s="17" t="s">
        <v>308</v>
      </c>
      <c r="B71" s="64" t="s">
        <v>309</v>
      </c>
      <c r="C71" s="74" t="s">
        <v>403</v>
      </c>
      <c r="D71" s="6"/>
      <c r="E71" s="6">
        <v>5</v>
      </c>
      <c r="F71" s="5"/>
      <c r="G71" s="5">
        <f t="shared" si="8"/>
        <v>0</v>
      </c>
      <c r="H71" s="5">
        <f t="shared" si="9"/>
        <v>0</v>
      </c>
      <c r="I71" s="6" t="e">
        <f t="shared" si="10"/>
        <v>#DIV/0!</v>
      </c>
      <c r="J71" s="2"/>
      <c r="L71" s="39"/>
    </row>
    <row r="72" spans="1:12" ht="31.5" customHeight="1" hidden="1">
      <c r="A72" s="17" t="s">
        <v>308</v>
      </c>
      <c r="B72" s="64" t="s">
        <v>309</v>
      </c>
      <c r="C72" s="74" t="s">
        <v>379</v>
      </c>
      <c r="D72" s="6"/>
      <c r="E72" s="6">
        <v>45</v>
      </c>
      <c r="F72" s="5"/>
      <c r="G72" s="5">
        <f t="shared" si="8"/>
        <v>0</v>
      </c>
      <c r="H72" s="5">
        <f t="shared" si="9"/>
        <v>0</v>
      </c>
      <c r="I72" s="6" t="e">
        <f t="shared" si="10"/>
        <v>#DIV/0!</v>
      </c>
      <c r="J72" s="2"/>
      <c r="L72" s="39"/>
    </row>
    <row r="73" spans="1:12" ht="30" customHeight="1" hidden="1">
      <c r="A73" s="17" t="s">
        <v>308</v>
      </c>
      <c r="B73" s="64" t="s">
        <v>309</v>
      </c>
      <c r="C73" s="74" t="s">
        <v>390</v>
      </c>
      <c r="D73" s="6"/>
      <c r="E73" s="6">
        <v>36</v>
      </c>
      <c r="F73" s="5"/>
      <c r="G73" s="5">
        <f t="shared" si="8"/>
        <v>0</v>
      </c>
      <c r="H73" s="5">
        <f t="shared" si="9"/>
        <v>0</v>
      </c>
      <c r="I73" s="6" t="e">
        <f t="shared" si="10"/>
        <v>#DIV/0!</v>
      </c>
      <c r="J73" s="2"/>
      <c r="L73" s="39"/>
    </row>
    <row r="74" spans="1:12" ht="33.75" customHeight="1" hidden="1">
      <c r="A74" s="17" t="s">
        <v>308</v>
      </c>
      <c r="B74" s="64" t="s">
        <v>309</v>
      </c>
      <c r="C74" s="74" t="s">
        <v>380</v>
      </c>
      <c r="D74" s="6"/>
      <c r="E74" s="6">
        <v>4.5</v>
      </c>
      <c r="F74" s="5"/>
      <c r="G74" s="5">
        <f t="shared" si="8"/>
        <v>0</v>
      </c>
      <c r="H74" s="5">
        <f t="shared" si="9"/>
        <v>0</v>
      </c>
      <c r="I74" s="6" t="e">
        <f t="shared" si="10"/>
        <v>#DIV/0!</v>
      </c>
      <c r="J74" s="2"/>
      <c r="L74" s="39"/>
    </row>
    <row r="75" spans="1:12" ht="33" customHeight="1" hidden="1">
      <c r="A75" s="17" t="s">
        <v>308</v>
      </c>
      <c r="B75" s="64" t="s">
        <v>309</v>
      </c>
      <c r="C75" s="63" t="s">
        <v>411</v>
      </c>
      <c r="D75" s="6"/>
      <c r="E75" s="6">
        <v>6</v>
      </c>
      <c r="F75" s="5"/>
      <c r="G75" s="5">
        <f t="shared" si="8"/>
        <v>0</v>
      </c>
      <c r="H75" s="5">
        <f t="shared" si="9"/>
        <v>0</v>
      </c>
      <c r="I75" s="6" t="e">
        <f t="shared" si="10"/>
        <v>#DIV/0!</v>
      </c>
      <c r="J75" s="2"/>
      <c r="L75" s="39"/>
    </row>
    <row r="76" spans="1:12" ht="33.75" customHeight="1" hidden="1">
      <c r="A76" s="17" t="s">
        <v>308</v>
      </c>
      <c r="B76" s="64" t="s">
        <v>309</v>
      </c>
      <c r="C76" s="74" t="s">
        <v>378</v>
      </c>
      <c r="D76" s="6"/>
      <c r="E76" s="6">
        <v>15</v>
      </c>
      <c r="F76" s="5"/>
      <c r="G76" s="5">
        <f t="shared" si="8"/>
        <v>0</v>
      </c>
      <c r="H76" s="5">
        <f t="shared" si="9"/>
        <v>0</v>
      </c>
      <c r="I76" s="6" t="e">
        <f t="shared" si="10"/>
        <v>#DIV/0!</v>
      </c>
      <c r="J76" s="2"/>
      <c r="L76" s="39"/>
    </row>
    <row r="77" spans="1:12" ht="36.75" customHeight="1" hidden="1">
      <c r="A77" s="17" t="s">
        <v>308</v>
      </c>
      <c r="B77" s="64" t="s">
        <v>309</v>
      </c>
      <c r="C77" s="74" t="s">
        <v>408</v>
      </c>
      <c r="D77" s="6"/>
      <c r="E77" s="6">
        <v>70</v>
      </c>
      <c r="F77" s="5"/>
      <c r="G77" s="5">
        <f t="shared" si="8"/>
        <v>0</v>
      </c>
      <c r="H77" s="5">
        <f t="shared" si="9"/>
        <v>0</v>
      </c>
      <c r="I77" s="6" t="e">
        <f t="shared" si="10"/>
        <v>#DIV/0!</v>
      </c>
      <c r="J77" s="2"/>
      <c r="L77" s="39"/>
    </row>
    <row r="78" spans="1:12" ht="39" customHeight="1" hidden="1">
      <c r="A78" s="17" t="s">
        <v>308</v>
      </c>
      <c r="B78" s="64" t="s">
        <v>309</v>
      </c>
      <c r="C78" s="74" t="s">
        <v>407</v>
      </c>
      <c r="D78" s="6"/>
      <c r="E78" s="6">
        <v>40</v>
      </c>
      <c r="F78" s="5"/>
      <c r="G78" s="5">
        <f t="shared" si="8"/>
        <v>0</v>
      </c>
      <c r="H78" s="5">
        <f t="shared" si="9"/>
        <v>0</v>
      </c>
      <c r="I78" s="6" t="e">
        <f t="shared" si="10"/>
        <v>#DIV/0!</v>
      </c>
      <c r="J78" s="2"/>
      <c r="L78" s="39"/>
    </row>
    <row r="79" spans="1:12" ht="42.75" customHeight="1" hidden="1">
      <c r="A79" s="17" t="s">
        <v>308</v>
      </c>
      <c r="B79" s="64" t="s">
        <v>309</v>
      </c>
      <c r="C79" s="74" t="s">
        <v>385</v>
      </c>
      <c r="D79" s="6"/>
      <c r="E79" s="6">
        <v>6</v>
      </c>
      <c r="F79" s="5"/>
      <c r="G79" s="5">
        <f t="shared" si="8"/>
        <v>0</v>
      </c>
      <c r="H79" s="5">
        <f t="shared" si="9"/>
        <v>0</v>
      </c>
      <c r="I79" s="6" t="e">
        <f t="shared" si="10"/>
        <v>#DIV/0!</v>
      </c>
      <c r="J79" s="2"/>
      <c r="L79" s="39"/>
    </row>
    <row r="80" spans="1:12" ht="44.25" customHeight="1" hidden="1">
      <c r="A80" s="17" t="s">
        <v>308</v>
      </c>
      <c r="B80" s="64" t="s">
        <v>309</v>
      </c>
      <c r="C80" s="63" t="s">
        <v>409</v>
      </c>
      <c r="D80" s="6"/>
      <c r="E80" s="6">
        <v>20</v>
      </c>
      <c r="F80" s="5"/>
      <c r="G80" s="5">
        <f t="shared" si="8"/>
        <v>0</v>
      </c>
      <c r="H80" s="5">
        <f t="shared" si="9"/>
        <v>0</v>
      </c>
      <c r="I80" s="6" t="e">
        <f t="shared" si="10"/>
        <v>#DIV/0!</v>
      </c>
      <c r="J80" s="2"/>
      <c r="L80" s="37"/>
    </row>
    <row r="81" spans="1:12" ht="47.25">
      <c r="A81" s="17"/>
      <c r="B81" s="64" t="s">
        <v>18</v>
      </c>
      <c r="C81" s="63" t="s">
        <v>61</v>
      </c>
      <c r="D81" s="6">
        <v>20</v>
      </c>
      <c r="E81" s="6"/>
      <c r="F81" s="5">
        <v>4.1499</v>
      </c>
      <c r="G81" s="5"/>
      <c r="H81" s="5">
        <f t="shared" si="9"/>
        <v>-15.850100000000001</v>
      </c>
      <c r="I81" s="6">
        <f t="shared" si="10"/>
        <v>20.749499999999998</v>
      </c>
      <c r="J81" s="2"/>
      <c r="L81" s="37"/>
    </row>
    <row r="82" spans="1:12" ht="46.5" customHeight="1">
      <c r="A82" s="17"/>
      <c r="B82" s="64" t="s">
        <v>18</v>
      </c>
      <c r="C82" s="63" t="s">
        <v>162</v>
      </c>
      <c r="D82" s="6">
        <v>10</v>
      </c>
      <c r="E82" s="6"/>
      <c r="F82" s="5">
        <v>2</v>
      </c>
      <c r="G82" s="5"/>
      <c r="H82" s="5">
        <f t="shared" si="9"/>
        <v>-8</v>
      </c>
      <c r="I82" s="6">
        <f t="shared" si="10"/>
        <v>20</v>
      </c>
      <c r="J82" s="2"/>
      <c r="L82" s="37"/>
    </row>
    <row r="83" spans="1:12" ht="31.5" hidden="1">
      <c r="A83" s="17" t="s">
        <v>306</v>
      </c>
      <c r="B83" s="64" t="s">
        <v>307</v>
      </c>
      <c r="C83" s="74" t="s">
        <v>468</v>
      </c>
      <c r="D83" s="6">
        <v>0</v>
      </c>
      <c r="E83" s="6">
        <v>2.4</v>
      </c>
      <c r="F83" s="5"/>
      <c r="G83" s="5">
        <f>F83-L80</f>
        <v>0</v>
      </c>
      <c r="H83" s="5">
        <f t="shared" si="9"/>
        <v>0</v>
      </c>
      <c r="I83" s="6" t="e">
        <f t="shared" si="10"/>
        <v>#DIV/0!</v>
      </c>
      <c r="J83" s="2"/>
      <c r="L83" s="37"/>
    </row>
    <row r="84" spans="1:12" ht="47.25" hidden="1">
      <c r="A84" s="17"/>
      <c r="B84" s="64" t="s">
        <v>18</v>
      </c>
      <c r="C84" s="74" t="s">
        <v>163</v>
      </c>
      <c r="D84" s="6">
        <v>0</v>
      </c>
      <c r="E84" s="6"/>
      <c r="F84" s="5"/>
      <c r="G84" s="5"/>
      <c r="H84" s="5">
        <f t="shared" si="9"/>
        <v>0</v>
      </c>
      <c r="I84" s="6" t="e">
        <f t="shared" si="10"/>
        <v>#DIV/0!</v>
      </c>
      <c r="J84" s="2"/>
      <c r="L84" s="37"/>
    </row>
    <row r="85" spans="1:12" ht="31.5">
      <c r="A85" s="17"/>
      <c r="B85" s="64" t="s">
        <v>85</v>
      </c>
      <c r="C85" s="74" t="s">
        <v>164</v>
      </c>
      <c r="D85" s="6">
        <v>51.1</v>
      </c>
      <c r="E85" s="6"/>
      <c r="F85" s="5">
        <v>42.66243</v>
      </c>
      <c r="G85" s="5"/>
      <c r="H85" s="5">
        <f t="shared" si="9"/>
        <v>-8.437570000000001</v>
      </c>
      <c r="I85" s="6">
        <f t="shared" si="10"/>
        <v>83.48812133072407</v>
      </c>
      <c r="J85" s="2"/>
      <c r="L85" s="37"/>
    </row>
    <row r="86" spans="1:12" ht="31.5">
      <c r="A86" s="17" t="s">
        <v>308</v>
      </c>
      <c r="B86" s="64" t="s">
        <v>337</v>
      </c>
      <c r="C86" s="74" t="s">
        <v>26</v>
      </c>
      <c r="D86" s="6">
        <v>86.65</v>
      </c>
      <c r="E86" s="6">
        <v>38.3</v>
      </c>
      <c r="F86" s="5">
        <v>47.8782</v>
      </c>
      <c r="G86" s="5">
        <f>F86-L83</f>
        <v>47.8782</v>
      </c>
      <c r="H86" s="5">
        <f t="shared" si="9"/>
        <v>-38.771800000000006</v>
      </c>
      <c r="I86" s="6">
        <f t="shared" si="10"/>
        <v>55.254702827466815</v>
      </c>
      <c r="J86" s="2"/>
      <c r="L86" s="37"/>
    </row>
    <row r="87" spans="1:12" ht="63" hidden="1">
      <c r="A87" s="17"/>
      <c r="B87" s="64" t="s">
        <v>337</v>
      </c>
      <c r="C87" s="74" t="s">
        <v>8</v>
      </c>
      <c r="D87" s="6">
        <v>0</v>
      </c>
      <c r="E87" s="6"/>
      <c r="F87" s="5"/>
      <c r="G87" s="5"/>
      <c r="H87" s="5">
        <f t="shared" si="9"/>
        <v>0</v>
      </c>
      <c r="I87" s="6" t="e">
        <f t="shared" si="10"/>
        <v>#DIV/0!</v>
      </c>
      <c r="J87" s="2"/>
      <c r="L87" s="37"/>
    </row>
    <row r="88" spans="1:12" ht="31.5">
      <c r="A88" s="17" t="s">
        <v>308</v>
      </c>
      <c r="B88" s="64" t="s">
        <v>337</v>
      </c>
      <c r="C88" s="74" t="s">
        <v>165</v>
      </c>
      <c r="D88" s="6">
        <v>24.24</v>
      </c>
      <c r="E88" s="6"/>
      <c r="F88" s="5">
        <v>16.44</v>
      </c>
      <c r="G88" s="5"/>
      <c r="H88" s="5">
        <f t="shared" si="9"/>
        <v>-7.799999999999997</v>
      </c>
      <c r="I88" s="6">
        <f t="shared" si="10"/>
        <v>67.82178217821783</v>
      </c>
      <c r="J88" s="2"/>
      <c r="L88" s="37"/>
    </row>
    <row r="89" spans="1:12" ht="33.75" customHeight="1">
      <c r="A89" s="17" t="s">
        <v>308</v>
      </c>
      <c r="B89" s="72" t="s">
        <v>412</v>
      </c>
      <c r="C89" s="63" t="s">
        <v>166</v>
      </c>
      <c r="D89" s="6">
        <v>19.3</v>
      </c>
      <c r="E89" s="6">
        <v>5.1</v>
      </c>
      <c r="F89" s="5">
        <v>6.16464</v>
      </c>
      <c r="G89" s="5">
        <f>F89-L86</f>
        <v>6.16464</v>
      </c>
      <c r="H89" s="5">
        <f t="shared" si="9"/>
        <v>-13.13536</v>
      </c>
      <c r="I89" s="6">
        <f t="shared" si="10"/>
        <v>31.941139896373056</v>
      </c>
      <c r="J89" s="2"/>
      <c r="L89" s="37"/>
    </row>
    <row r="90" spans="1:12" ht="67.5" customHeight="1" hidden="1">
      <c r="A90" s="19" t="s">
        <v>304</v>
      </c>
      <c r="B90" s="72" t="s">
        <v>19</v>
      </c>
      <c r="C90" s="55" t="s">
        <v>31</v>
      </c>
      <c r="D90" s="6">
        <v>0</v>
      </c>
      <c r="E90" s="6">
        <v>301.4</v>
      </c>
      <c r="F90" s="5">
        <v>0</v>
      </c>
      <c r="G90" s="5">
        <f>F90-L89</f>
        <v>0</v>
      </c>
      <c r="H90" s="5">
        <f t="shared" si="9"/>
        <v>0</v>
      </c>
      <c r="I90" s="6" t="e">
        <f t="shared" si="10"/>
        <v>#DIV/0!</v>
      </c>
      <c r="J90" s="2"/>
      <c r="L90" s="2"/>
    </row>
    <row r="91" spans="1:12" ht="68.25" customHeight="1" hidden="1">
      <c r="A91" s="19" t="s">
        <v>304</v>
      </c>
      <c r="B91" s="72" t="s">
        <v>19</v>
      </c>
      <c r="C91" s="55" t="s">
        <v>105</v>
      </c>
      <c r="D91" s="6"/>
      <c r="E91" s="6"/>
      <c r="F91" s="5"/>
      <c r="G91" s="5"/>
      <c r="H91" s="5">
        <f t="shared" si="9"/>
        <v>0</v>
      </c>
      <c r="I91" s="6" t="e">
        <f t="shared" si="10"/>
        <v>#DIV/0!</v>
      </c>
      <c r="J91" s="2"/>
      <c r="L91" s="2"/>
    </row>
    <row r="92" spans="1:12" ht="15.75">
      <c r="A92" s="17" t="s">
        <v>304</v>
      </c>
      <c r="B92" s="79" t="s">
        <v>442</v>
      </c>
      <c r="C92" s="74" t="s">
        <v>443</v>
      </c>
      <c r="D92" s="6">
        <f>SUM(D93:D102)</f>
        <v>688.0050000000001</v>
      </c>
      <c r="E92" s="6">
        <f>SUM(E93:E102)</f>
        <v>163.6</v>
      </c>
      <c r="F92" s="6">
        <f>SUM(F93:F102)</f>
        <v>284.86355000000003</v>
      </c>
      <c r="G92" s="6">
        <f>SUM(G93:G102)</f>
        <v>146.78168</v>
      </c>
      <c r="H92" s="6">
        <f>SUM(H93:H102)</f>
        <v>-403.14145</v>
      </c>
      <c r="I92" s="6">
        <f t="shared" si="10"/>
        <v>41.404284852581014</v>
      </c>
      <c r="J92" s="2"/>
      <c r="L92" s="37"/>
    </row>
    <row r="93" spans="1:12" ht="33" customHeight="1">
      <c r="A93" s="17" t="s">
        <v>304</v>
      </c>
      <c r="B93" s="48" t="s">
        <v>365</v>
      </c>
      <c r="C93" s="18" t="s">
        <v>32</v>
      </c>
      <c r="D93" s="1">
        <v>331.091</v>
      </c>
      <c r="E93" s="1">
        <v>124.6</v>
      </c>
      <c r="F93" s="4">
        <v>146.78168</v>
      </c>
      <c r="G93" s="5">
        <f>F93-L92</f>
        <v>146.78168</v>
      </c>
      <c r="H93" s="4">
        <f aca="true" t="shared" si="11" ref="H93:H101">F93-D93</f>
        <v>-184.30932</v>
      </c>
      <c r="I93" s="1">
        <f t="shared" si="10"/>
        <v>44.33273027657049</v>
      </c>
      <c r="J93" s="2"/>
      <c r="L93" s="37"/>
    </row>
    <row r="94" spans="1:12" ht="47.25" hidden="1">
      <c r="A94" s="17" t="s">
        <v>304</v>
      </c>
      <c r="B94" s="48" t="s">
        <v>344</v>
      </c>
      <c r="C94" s="18" t="s">
        <v>12</v>
      </c>
      <c r="D94" s="1">
        <v>0</v>
      </c>
      <c r="E94" s="1">
        <v>22</v>
      </c>
      <c r="F94" s="4"/>
      <c r="G94" s="5">
        <f>F94-L93</f>
        <v>0</v>
      </c>
      <c r="H94" s="4">
        <f t="shared" si="11"/>
        <v>0</v>
      </c>
      <c r="I94" s="1" t="e">
        <f t="shared" si="10"/>
        <v>#DIV/0!</v>
      </c>
      <c r="J94" s="2"/>
      <c r="L94" s="37"/>
    </row>
    <row r="95" spans="1:12" ht="0.75" customHeight="1" hidden="1">
      <c r="A95" s="17" t="s">
        <v>304</v>
      </c>
      <c r="B95" s="48" t="s">
        <v>366</v>
      </c>
      <c r="C95" s="18" t="s">
        <v>12</v>
      </c>
      <c r="D95" s="1">
        <v>0</v>
      </c>
      <c r="E95" s="1">
        <v>17</v>
      </c>
      <c r="F95" s="4"/>
      <c r="G95" s="5">
        <f>F95-L94</f>
        <v>0</v>
      </c>
      <c r="H95" s="4">
        <f t="shared" si="11"/>
        <v>0</v>
      </c>
      <c r="I95" s="1" t="e">
        <f t="shared" si="10"/>
        <v>#DIV/0!</v>
      </c>
      <c r="J95" s="2"/>
      <c r="L95" s="2"/>
    </row>
    <row r="96" spans="1:12" ht="65.25" customHeight="1">
      <c r="A96" s="17"/>
      <c r="B96" s="48" t="s">
        <v>365</v>
      </c>
      <c r="C96" s="18" t="s">
        <v>167</v>
      </c>
      <c r="D96" s="1">
        <v>287.3</v>
      </c>
      <c r="E96" s="1"/>
      <c r="F96" s="4">
        <v>133.13951</v>
      </c>
      <c r="G96" s="5"/>
      <c r="H96" s="4">
        <f t="shared" si="11"/>
        <v>-154.16049</v>
      </c>
      <c r="I96" s="1">
        <f t="shared" si="10"/>
        <v>46.34163243995823</v>
      </c>
      <c r="J96" s="2"/>
      <c r="L96" s="2"/>
    </row>
    <row r="97" spans="1:12" ht="44.25" customHeight="1">
      <c r="A97" s="17"/>
      <c r="B97" s="48" t="s">
        <v>366</v>
      </c>
      <c r="C97" s="18" t="s">
        <v>168</v>
      </c>
      <c r="D97" s="1">
        <v>5.48</v>
      </c>
      <c r="E97" s="1"/>
      <c r="F97" s="5">
        <v>1.782</v>
      </c>
      <c r="G97" s="5"/>
      <c r="H97" s="4">
        <f t="shared" si="11"/>
        <v>-3.6980000000000004</v>
      </c>
      <c r="I97" s="1">
        <f t="shared" si="10"/>
        <v>32.51824817518248</v>
      </c>
      <c r="J97" s="2"/>
      <c r="L97" s="2"/>
    </row>
    <row r="98" spans="1:12" ht="49.5" customHeight="1">
      <c r="A98" s="17"/>
      <c r="B98" s="48" t="s">
        <v>366</v>
      </c>
      <c r="C98" s="18" t="s">
        <v>168</v>
      </c>
      <c r="D98" s="1">
        <v>24.7</v>
      </c>
      <c r="E98" s="1"/>
      <c r="F98" s="5">
        <v>1.60636</v>
      </c>
      <c r="G98" s="5"/>
      <c r="H98" s="4">
        <f t="shared" si="11"/>
        <v>-23.09364</v>
      </c>
      <c r="I98" s="1">
        <f t="shared" si="10"/>
        <v>6.503481781376519</v>
      </c>
      <c r="J98" s="2"/>
      <c r="L98" s="2"/>
    </row>
    <row r="99" spans="1:12" ht="48.75" customHeight="1">
      <c r="A99" s="17" t="s">
        <v>304</v>
      </c>
      <c r="B99" s="48" t="s">
        <v>366</v>
      </c>
      <c r="C99" s="7" t="s">
        <v>169</v>
      </c>
      <c r="D99" s="1">
        <v>35</v>
      </c>
      <c r="E99" s="1"/>
      <c r="F99" s="5">
        <v>1.12</v>
      </c>
      <c r="G99" s="5"/>
      <c r="H99" s="4">
        <f t="shared" si="11"/>
        <v>-33.88</v>
      </c>
      <c r="I99" s="1">
        <f t="shared" si="10"/>
        <v>3.2</v>
      </c>
      <c r="J99" s="2"/>
      <c r="L99" s="2"/>
    </row>
    <row r="100" spans="1:12" ht="64.5" customHeight="1">
      <c r="A100" s="17"/>
      <c r="B100" s="48" t="s">
        <v>78</v>
      </c>
      <c r="C100" s="7" t="s">
        <v>170</v>
      </c>
      <c r="D100" s="1">
        <v>0.434</v>
      </c>
      <c r="E100" s="1"/>
      <c r="F100" s="4">
        <v>0.434</v>
      </c>
      <c r="G100" s="5"/>
      <c r="H100" s="4">
        <f t="shared" si="11"/>
        <v>0</v>
      </c>
      <c r="I100" s="1">
        <f t="shared" si="10"/>
        <v>100</v>
      </c>
      <c r="J100" s="2"/>
      <c r="L100" s="2"/>
    </row>
    <row r="101" spans="1:12" ht="50.25" customHeight="1">
      <c r="A101" s="17"/>
      <c r="B101" s="48" t="s">
        <v>78</v>
      </c>
      <c r="C101" s="7" t="s">
        <v>182</v>
      </c>
      <c r="D101" s="1">
        <v>4</v>
      </c>
      <c r="E101" s="1"/>
      <c r="F101" s="4">
        <v>0</v>
      </c>
      <c r="G101" s="5"/>
      <c r="H101" s="4">
        <f t="shared" si="11"/>
        <v>-4</v>
      </c>
      <c r="I101" s="1">
        <f t="shared" si="10"/>
        <v>0</v>
      </c>
      <c r="J101" s="2"/>
      <c r="L101" s="2"/>
    </row>
    <row r="102" spans="1:12" ht="50.25" customHeight="1" hidden="1">
      <c r="A102" s="17"/>
      <c r="B102" s="48" t="s">
        <v>25</v>
      </c>
      <c r="C102" s="18" t="s">
        <v>33</v>
      </c>
      <c r="D102" s="1"/>
      <c r="E102" s="1"/>
      <c r="F102" s="4"/>
      <c r="G102" s="5"/>
      <c r="H102" s="4"/>
      <c r="I102" s="1"/>
      <c r="J102" s="2"/>
      <c r="L102" s="2"/>
    </row>
    <row r="103" spans="1:12" ht="15.75">
      <c r="A103" s="17"/>
      <c r="B103" s="64" t="s">
        <v>310</v>
      </c>
      <c r="C103" s="74" t="s">
        <v>106</v>
      </c>
      <c r="D103" s="6">
        <f>SUM(D104:D108)</f>
        <v>1899.8842200000001</v>
      </c>
      <c r="E103" s="6">
        <f>SUM(E104:E108)</f>
        <v>661.9</v>
      </c>
      <c r="F103" s="6">
        <f>SUM(F104:F108)</f>
        <v>855.2862899999999</v>
      </c>
      <c r="G103" s="6">
        <f>SUM(G104:G108)</f>
        <v>815.2364799999999</v>
      </c>
      <c r="H103" s="5">
        <f aca="true" t="shared" si="12" ref="H103:H134">F103-D103</f>
        <v>-1044.5979300000004</v>
      </c>
      <c r="I103" s="6">
        <f aca="true" t="shared" si="13" ref="I103:I134">F103/D103*100</f>
        <v>45.01781113798607</v>
      </c>
      <c r="J103" s="2"/>
      <c r="L103" s="2"/>
    </row>
    <row r="104" spans="1:12" ht="65.25" customHeight="1">
      <c r="A104" s="17" t="s">
        <v>311</v>
      </c>
      <c r="B104" s="48" t="s">
        <v>312</v>
      </c>
      <c r="C104" s="18" t="s">
        <v>34</v>
      </c>
      <c r="D104" s="1">
        <v>1625.51422</v>
      </c>
      <c r="E104" s="1">
        <v>392.3</v>
      </c>
      <c r="F104" s="1">
        <v>758.08177</v>
      </c>
      <c r="G104" s="5">
        <f>F104-L103</f>
        <v>758.08177</v>
      </c>
      <c r="H104" s="4">
        <f t="shared" si="12"/>
        <v>-867.43245</v>
      </c>
      <c r="I104" s="1">
        <f t="shared" si="13"/>
        <v>46.636428071358246</v>
      </c>
      <c r="J104" s="2"/>
      <c r="L104" s="37"/>
    </row>
    <row r="105" spans="1:12" ht="79.5" customHeight="1">
      <c r="A105" s="17" t="s">
        <v>311</v>
      </c>
      <c r="B105" s="48" t="s">
        <v>20</v>
      </c>
      <c r="C105" s="7" t="s">
        <v>272</v>
      </c>
      <c r="D105" s="1">
        <v>140</v>
      </c>
      <c r="E105" s="1"/>
      <c r="F105" s="1">
        <v>40.04981</v>
      </c>
      <c r="G105" s="5"/>
      <c r="H105" s="4">
        <f t="shared" si="12"/>
        <v>-99.95018999999999</v>
      </c>
      <c r="I105" s="1">
        <f t="shared" si="13"/>
        <v>28.607007142857142</v>
      </c>
      <c r="J105" s="2"/>
      <c r="L105" s="37"/>
    </row>
    <row r="106" spans="1:12" ht="48" customHeight="1">
      <c r="A106" s="17" t="s">
        <v>303</v>
      </c>
      <c r="B106" s="48" t="s">
        <v>313</v>
      </c>
      <c r="C106" s="7" t="s">
        <v>173</v>
      </c>
      <c r="D106" s="1">
        <f>34.14-2</f>
        <v>32.14</v>
      </c>
      <c r="E106" s="1">
        <v>3.4</v>
      </c>
      <c r="F106" s="4">
        <v>11.83395</v>
      </c>
      <c r="G106" s="5">
        <f>F106-L104</f>
        <v>11.83395</v>
      </c>
      <c r="H106" s="4">
        <f t="shared" si="12"/>
        <v>-20.30605</v>
      </c>
      <c r="I106" s="1">
        <f t="shared" si="13"/>
        <v>36.82000622277536</v>
      </c>
      <c r="J106" s="2"/>
      <c r="L106" s="2"/>
    </row>
    <row r="107" spans="1:12" ht="79.5" customHeight="1">
      <c r="A107" s="17" t="s">
        <v>301</v>
      </c>
      <c r="B107" s="48" t="s">
        <v>314</v>
      </c>
      <c r="C107" s="3" t="s">
        <v>174</v>
      </c>
      <c r="D107" s="1">
        <f>100.23+2</f>
        <v>102.23</v>
      </c>
      <c r="E107" s="1">
        <v>32.8</v>
      </c>
      <c r="F107" s="1">
        <v>45.32076</v>
      </c>
      <c r="G107" s="5">
        <f>F107-L106</f>
        <v>45.32076</v>
      </c>
      <c r="H107" s="4">
        <f t="shared" si="12"/>
        <v>-56.909240000000004</v>
      </c>
      <c r="I107" s="1">
        <f t="shared" si="13"/>
        <v>44.33215298835958</v>
      </c>
      <c r="J107" s="2"/>
      <c r="L107" s="39"/>
    </row>
    <row r="108" spans="1:12" ht="31.5" hidden="1">
      <c r="A108" s="17" t="s">
        <v>308</v>
      </c>
      <c r="B108" s="48" t="s">
        <v>315</v>
      </c>
      <c r="C108" s="3" t="s">
        <v>469</v>
      </c>
      <c r="D108" s="1">
        <v>0</v>
      </c>
      <c r="E108" s="1">
        <v>233.4</v>
      </c>
      <c r="F108" s="5">
        <v>0</v>
      </c>
      <c r="G108" s="5">
        <f>F108-L107</f>
        <v>0</v>
      </c>
      <c r="H108" s="4">
        <f t="shared" si="12"/>
        <v>0</v>
      </c>
      <c r="I108" s="1" t="e">
        <f t="shared" si="13"/>
        <v>#DIV/0!</v>
      </c>
      <c r="J108" s="2"/>
      <c r="L108" s="39"/>
    </row>
    <row r="109" spans="1:12" ht="15.75">
      <c r="A109" s="17"/>
      <c r="B109" s="64" t="s">
        <v>316</v>
      </c>
      <c r="C109" s="74" t="s">
        <v>443</v>
      </c>
      <c r="D109" s="6">
        <f>D110+D111+D112</f>
        <v>2963</v>
      </c>
      <c r="E109" s="6">
        <f>E110+E111+E112</f>
        <v>409.4</v>
      </c>
      <c r="F109" s="6">
        <f>F110+F111+F112</f>
        <v>1396.19636</v>
      </c>
      <c r="G109" s="85">
        <f>G110+G111+G112</f>
        <v>1393.5653</v>
      </c>
      <c r="H109" s="5">
        <f t="shared" si="12"/>
        <v>-1566.80364</v>
      </c>
      <c r="I109" s="6">
        <f t="shared" si="13"/>
        <v>47.121038137023284</v>
      </c>
      <c r="J109" s="2"/>
      <c r="L109" s="37"/>
    </row>
    <row r="110" spans="1:12" ht="31.5">
      <c r="A110" s="17" t="s">
        <v>306</v>
      </c>
      <c r="B110" s="64" t="s">
        <v>316</v>
      </c>
      <c r="C110" s="74" t="s">
        <v>175</v>
      </c>
      <c r="D110" s="6">
        <v>2955.6</v>
      </c>
      <c r="E110" s="6">
        <v>409.4</v>
      </c>
      <c r="F110" s="5">
        <v>1393.5653</v>
      </c>
      <c r="G110" s="5">
        <f>F110-L109</f>
        <v>1393.5653</v>
      </c>
      <c r="H110" s="5">
        <f t="shared" si="12"/>
        <v>-1562.0347</v>
      </c>
      <c r="I110" s="6">
        <f t="shared" si="13"/>
        <v>47.14999661659223</v>
      </c>
      <c r="J110" s="2"/>
      <c r="L110" s="37"/>
    </row>
    <row r="111" spans="1:12" ht="47.25">
      <c r="A111" s="17"/>
      <c r="B111" s="64" t="s">
        <v>462</v>
      </c>
      <c r="C111" s="74" t="s">
        <v>176</v>
      </c>
      <c r="D111" s="6">
        <v>6.32</v>
      </c>
      <c r="E111" s="6"/>
      <c r="F111" s="5">
        <v>2.63106</v>
      </c>
      <c r="G111" s="5"/>
      <c r="H111" s="5">
        <f t="shared" si="12"/>
        <v>-3.68894</v>
      </c>
      <c r="I111" s="6">
        <f t="shared" si="13"/>
        <v>41.630696202531645</v>
      </c>
      <c r="J111" s="2"/>
      <c r="L111" s="37"/>
    </row>
    <row r="112" spans="1:12" ht="33" customHeight="1">
      <c r="A112" s="17"/>
      <c r="B112" s="64" t="s">
        <v>463</v>
      </c>
      <c r="C112" s="74" t="s">
        <v>177</v>
      </c>
      <c r="D112" s="6">
        <v>1.08</v>
      </c>
      <c r="E112" s="6"/>
      <c r="F112" s="5">
        <v>0</v>
      </c>
      <c r="G112" s="5"/>
      <c r="H112" s="5">
        <f t="shared" si="12"/>
        <v>-1.08</v>
      </c>
      <c r="I112" s="6">
        <f t="shared" si="13"/>
        <v>0</v>
      </c>
      <c r="J112" s="2" t="s">
        <v>373</v>
      </c>
      <c r="L112" s="2"/>
    </row>
    <row r="113" spans="1:12" ht="16.5" customHeight="1">
      <c r="A113" s="19" t="s">
        <v>413</v>
      </c>
      <c r="B113" s="72" t="s">
        <v>317</v>
      </c>
      <c r="C113" s="55" t="s">
        <v>107</v>
      </c>
      <c r="D113" s="6">
        <f>SUM(D114:D119)</f>
        <v>7095.6</v>
      </c>
      <c r="E113" s="6">
        <f>SUM(E114:E119)</f>
        <v>3220.6</v>
      </c>
      <c r="F113" s="6">
        <f>SUM(F114:F119)</f>
        <v>2847.35451</v>
      </c>
      <c r="G113" s="6">
        <f>SUM(G114:G119)</f>
        <v>2847.35451</v>
      </c>
      <c r="H113" s="5">
        <f t="shared" si="12"/>
        <v>-4248.24549</v>
      </c>
      <c r="I113" s="6">
        <f t="shared" si="13"/>
        <v>40.12845298494842</v>
      </c>
      <c r="J113" s="2" t="s">
        <v>374</v>
      </c>
      <c r="L113" s="37"/>
    </row>
    <row r="114" spans="1:12" ht="47.25">
      <c r="A114" s="17" t="s">
        <v>318</v>
      </c>
      <c r="B114" s="64" t="s">
        <v>17</v>
      </c>
      <c r="C114" s="55" t="s">
        <v>178</v>
      </c>
      <c r="D114" s="6">
        <v>258</v>
      </c>
      <c r="E114" s="6">
        <v>768.1</v>
      </c>
      <c r="F114" s="5">
        <v>0</v>
      </c>
      <c r="G114" s="5">
        <f>F114-L113</f>
        <v>0</v>
      </c>
      <c r="H114" s="5">
        <f t="shared" si="12"/>
        <v>-258</v>
      </c>
      <c r="I114" s="6">
        <f t="shared" si="13"/>
        <v>0</v>
      </c>
      <c r="J114" s="2"/>
      <c r="L114" s="37"/>
    </row>
    <row r="115" spans="1:12" ht="48" customHeight="1">
      <c r="A115" s="17" t="s">
        <v>318</v>
      </c>
      <c r="B115" s="64" t="s">
        <v>370</v>
      </c>
      <c r="C115" s="86" t="s">
        <v>219</v>
      </c>
      <c r="D115" s="6">
        <f>1054-400</f>
        <v>654</v>
      </c>
      <c r="E115" s="6">
        <v>852.5</v>
      </c>
      <c r="F115" s="5">
        <v>150</v>
      </c>
      <c r="G115" s="5">
        <f>F115-L114</f>
        <v>150</v>
      </c>
      <c r="H115" s="5">
        <f t="shared" si="12"/>
        <v>-504</v>
      </c>
      <c r="I115" s="6">
        <f t="shared" si="13"/>
        <v>22.93577981651376</v>
      </c>
      <c r="J115" s="2"/>
      <c r="L115" s="37"/>
    </row>
    <row r="116" spans="1:12" ht="34.5" customHeight="1">
      <c r="A116" s="17" t="s">
        <v>318</v>
      </c>
      <c r="B116" s="64" t="s">
        <v>40</v>
      </c>
      <c r="C116" s="86" t="s">
        <v>220</v>
      </c>
      <c r="D116" s="6">
        <v>200</v>
      </c>
      <c r="E116" s="6"/>
      <c r="F116" s="5">
        <v>0</v>
      </c>
      <c r="G116" s="5"/>
      <c r="H116" s="5">
        <f t="shared" si="12"/>
        <v>-200</v>
      </c>
      <c r="I116" s="6">
        <f t="shared" si="13"/>
        <v>0</v>
      </c>
      <c r="J116" s="2"/>
      <c r="L116" s="37"/>
    </row>
    <row r="117" spans="1:12" ht="47.25" customHeight="1">
      <c r="A117" s="17" t="s">
        <v>320</v>
      </c>
      <c r="B117" s="64" t="s">
        <v>15</v>
      </c>
      <c r="C117" s="86" t="s">
        <v>221</v>
      </c>
      <c r="D117" s="6">
        <v>98</v>
      </c>
      <c r="E117" s="6">
        <v>0</v>
      </c>
      <c r="F117" s="5">
        <v>73.5</v>
      </c>
      <c r="G117" s="5">
        <f>F117-L115</f>
        <v>73.5</v>
      </c>
      <c r="H117" s="5">
        <f t="shared" si="12"/>
        <v>-24.5</v>
      </c>
      <c r="I117" s="6">
        <f t="shared" si="13"/>
        <v>75</v>
      </c>
      <c r="J117" s="2"/>
      <c r="L117" s="37"/>
    </row>
    <row r="118" spans="1:12" ht="47.25" customHeight="1" hidden="1">
      <c r="A118" s="17"/>
      <c r="B118" s="64" t="s">
        <v>321</v>
      </c>
      <c r="C118" s="63" t="s">
        <v>222</v>
      </c>
      <c r="D118" s="6">
        <v>0</v>
      </c>
      <c r="E118" s="6"/>
      <c r="F118" s="5"/>
      <c r="G118" s="5"/>
      <c r="H118" s="5">
        <f t="shared" si="12"/>
        <v>0</v>
      </c>
      <c r="I118" s="6" t="e">
        <f t="shared" si="13"/>
        <v>#DIV/0!</v>
      </c>
      <c r="J118" s="2"/>
      <c r="L118" s="37"/>
    </row>
    <row r="119" spans="1:12" ht="15.75">
      <c r="A119" s="17" t="s">
        <v>320</v>
      </c>
      <c r="B119" s="64" t="s">
        <v>321</v>
      </c>
      <c r="C119" s="63" t="s">
        <v>384</v>
      </c>
      <c r="D119" s="6">
        <v>5885.6</v>
      </c>
      <c r="E119" s="6">
        <v>1600</v>
      </c>
      <c r="F119" s="5">
        <v>2623.85451</v>
      </c>
      <c r="G119" s="5">
        <f>F119-L117</f>
        <v>2623.85451</v>
      </c>
      <c r="H119" s="5">
        <f t="shared" si="12"/>
        <v>-3261.7454900000002</v>
      </c>
      <c r="I119" s="6">
        <f t="shared" si="13"/>
        <v>44.5809180032622</v>
      </c>
      <c r="J119" s="2"/>
      <c r="L119" s="2"/>
    </row>
    <row r="120" spans="1:12" ht="15.75">
      <c r="A120" s="19" t="s">
        <v>322</v>
      </c>
      <c r="B120" s="72" t="s">
        <v>335</v>
      </c>
      <c r="C120" s="55" t="s">
        <v>109</v>
      </c>
      <c r="D120" s="6">
        <f>SUM(D121:D126)</f>
        <v>3533.5376400000005</v>
      </c>
      <c r="E120" s="6">
        <f>SUM(E121:E126)</f>
        <v>970.5999999999999</v>
      </c>
      <c r="F120" s="6">
        <f>SUM(F121:F126)</f>
        <v>1911.68072</v>
      </c>
      <c r="G120" s="6" t="e">
        <f>SUM(G121:G126)</f>
        <v>#REF!</v>
      </c>
      <c r="H120" s="5">
        <f t="shared" si="12"/>
        <v>-1621.8569200000004</v>
      </c>
      <c r="I120" s="6">
        <f t="shared" si="13"/>
        <v>54.10104305553682</v>
      </c>
      <c r="J120" s="2"/>
      <c r="L120" s="37"/>
    </row>
    <row r="121" spans="1:12" ht="15.75">
      <c r="A121" s="17" t="s">
        <v>322</v>
      </c>
      <c r="B121" s="64" t="s">
        <v>444</v>
      </c>
      <c r="C121" s="74" t="s">
        <v>447</v>
      </c>
      <c r="D121" s="6">
        <v>432.13914</v>
      </c>
      <c r="E121" s="6">
        <v>123.4</v>
      </c>
      <c r="F121" s="5">
        <v>205.23305</v>
      </c>
      <c r="G121" s="5">
        <f>F121-L120</f>
        <v>205.23305</v>
      </c>
      <c r="H121" s="5">
        <f t="shared" si="12"/>
        <v>-226.90609</v>
      </c>
      <c r="I121" s="6">
        <f t="shared" si="13"/>
        <v>47.49235396728933</v>
      </c>
      <c r="J121" s="2"/>
      <c r="L121" s="37"/>
    </row>
    <row r="122" spans="1:12" ht="15.75">
      <c r="A122" s="17" t="s">
        <v>322</v>
      </c>
      <c r="B122" s="64" t="s">
        <v>445</v>
      </c>
      <c r="C122" s="74" t="s">
        <v>449</v>
      </c>
      <c r="D122" s="6">
        <v>279.96924</v>
      </c>
      <c r="E122" s="6">
        <v>86.6</v>
      </c>
      <c r="F122" s="5">
        <v>153.64377</v>
      </c>
      <c r="G122" s="5">
        <f>F122-L121</f>
        <v>153.64377</v>
      </c>
      <c r="H122" s="5">
        <f t="shared" si="12"/>
        <v>-126.32547000000002</v>
      </c>
      <c r="I122" s="6">
        <f t="shared" si="13"/>
        <v>54.87880382859201</v>
      </c>
      <c r="J122" s="2"/>
      <c r="L122" s="37"/>
    </row>
    <row r="123" spans="1:12" ht="18" customHeight="1">
      <c r="A123" s="17" t="s">
        <v>322</v>
      </c>
      <c r="B123" s="64" t="s">
        <v>446</v>
      </c>
      <c r="C123" s="74" t="s">
        <v>448</v>
      </c>
      <c r="D123" s="6">
        <f>2240.05368+14</f>
        <v>2254.05368</v>
      </c>
      <c r="E123" s="6">
        <v>581.9</v>
      </c>
      <c r="F123" s="5">
        <v>1263.73216</v>
      </c>
      <c r="G123" s="5" t="e">
        <f>F123-#REF!</f>
        <v>#REF!</v>
      </c>
      <c r="H123" s="5">
        <f t="shared" si="12"/>
        <v>-990.32152</v>
      </c>
      <c r="I123" s="6">
        <f t="shared" si="13"/>
        <v>56.064865322994436</v>
      </c>
      <c r="J123" s="2"/>
      <c r="L123" s="37"/>
    </row>
    <row r="124" spans="1:12" ht="63" hidden="1">
      <c r="A124" s="17" t="s">
        <v>361</v>
      </c>
      <c r="B124" s="64" t="s">
        <v>432</v>
      </c>
      <c r="C124" s="74" t="s">
        <v>431</v>
      </c>
      <c r="D124" s="6">
        <v>0</v>
      </c>
      <c r="E124" s="6">
        <v>18.4</v>
      </c>
      <c r="F124" s="5"/>
      <c r="G124" s="5">
        <f>F124-L123</f>
        <v>0</v>
      </c>
      <c r="H124" s="5">
        <f t="shared" si="12"/>
        <v>0</v>
      </c>
      <c r="I124" s="6" t="e">
        <f t="shared" si="13"/>
        <v>#DIV/0!</v>
      </c>
      <c r="J124" s="2"/>
      <c r="L124" s="37"/>
    </row>
    <row r="125" spans="1:12" ht="15.75">
      <c r="A125" s="17" t="s">
        <v>322</v>
      </c>
      <c r="B125" s="64" t="s">
        <v>424</v>
      </c>
      <c r="C125" s="74" t="s">
        <v>397</v>
      </c>
      <c r="D125" s="6">
        <v>234.49958</v>
      </c>
      <c r="E125" s="6">
        <v>60.3</v>
      </c>
      <c r="F125" s="5">
        <v>119.324</v>
      </c>
      <c r="G125" s="5">
        <f>F125-L124</f>
        <v>119.324</v>
      </c>
      <c r="H125" s="5">
        <f t="shared" si="12"/>
        <v>-115.17558000000001</v>
      </c>
      <c r="I125" s="6">
        <f t="shared" si="13"/>
        <v>50.88452610448172</v>
      </c>
      <c r="J125" s="2"/>
      <c r="L125" s="37"/>
    </row>
    <row r="126" spans="1:12" ht="50.25" customHeight="1">
      <c r="A126" s="17" t="s">
        <v>425</v>
      </c>
      <c r="B126" s="64" t="s">
        <v>424</v>
      </c>
      <c r="C126" s="74" t="s">
        <v>35</v>
      </c>
      <c r="D126" s="6">
        <f>294.876+38</f>
        <v>332.876</v>
      </c>
      <c r="E126" s="6">
        <v>100</v>
      </c>
      <c r="F126" s="5">
        <v>169.74774</v>
      </c>
      <c r="G126" s="5">
        <f>F126-L125</f>
        <v>169.74774</v>
      </c>
      <c r="H126" s="5">
        <f t="shared" si="12"/>
        <v>-163.12825999999998</v>
      </c>
      <c r="I126" s="6">
        <f t="shared" si="13"/>
        <v>50.994286160612354</v>
      </c>
      <c r="J126" s="2"/>
      <c r="L126" s="2"/>
    </row>
    <row r="127" spans="1:12" ht="19.5" customHeight="1">
      <c r="A127" s="17" t="s">
        <v>414</v>
      </c>
      <c r="B127" s="64" t="s">
        <v>371</v>
      </c>
      <c r="C127" s="74" t="s">
        <v>110</v>
      </c>
      <c r="D127" s="6">
        <f>SUM(D128:D131)</f>
        <v>390</v>
      </c>
      <c r="E127" s="6">
        <f>SUM(E128:E131)</f>
        <v>141.2</v>
      </c>
      <c r="F127" s="6">
        <f>SUM(F128:F131)</f>
        <v>152.82232</v>
      </c>
      <c r="G127" s="6">
        <f>SUM(G128:G130)</f>
        <v>10</v>
      </c>
      <c r="H127" s="5">
        <f t="shared" si="12"/>
        <v>-237.17768</v>
      </c>
      <c r="I127" s="6">
        <f t="shared" si="13"/>
        <v>39.18521025641025</v>
      </c>
      <c r="J127" s="2"/>
      <c r="L127" s="38"/>
    </row>
    <row r="128" spans="1:12" ht="15" customHeight="1" hidden="1">
      <c r="A128" s="23" t="s">
        <v>342</v>
      </c>
      <c r="B128" s="50" t="s">
        <v>341</v>
      </c>
      <c r="C128" s="7" t="s">
        <v>470</v>
      </c>
      <c r="D128" s="1">
        <v>0</v>
      </c>
      <c r="E128" s="1">
        <v>21</v>
      </c>
      <c r="F128" s="8">
        <v>0</v>
      </c>
      <c r="G128" s="5">
        <f>F128-L127</f>
        <v>0</v>
      </c>
      <c r="H128" s="4">
        <f t="shared" si="12"/>
        <v>0</v>
      </c>
      <c r="I128" s="1" t="e">
        <f t="shared" si="13"/>
        <v>#DIV/0!</v>
      </c>
      <c r="J128" s="2"/>
      <c r="L128" s="38"/>
    </row>
    <row r="129" spans="1:12" ht="23.25" customHeight="1" hidden="1">
      <c r="A129" s="23" t="s">
        <v>382</v>
      </c>
      <c r="B129" s="50" t="s">
        <v>383</v>
      </c>
      <c r="C129" s="7" t="s">
        <v>471</v>
      </c>
      <c r="D129" s="1">
        <v>0</v>
      </c>
      <c r="E129" s="1">
        <v>120.2</v>
      </c>
      <c r="F129" s="8">
        <v>0</v>
      </c>
      <c r="G129" s="5">
        <f>F129-L128</f>
        <v>0</v>
      </c>
      <c r="H129" s="4">
        <f t="shared" si="12"/>
        <v>0</v>
      </c>
      <c r="I129" s="1" t="e">
        <f t="shared" si="13"/>
        <v>#DIV/0!</v>
      </c>
      <c r="J129" s="2"/>
      <c r="L129" s="37"/>
    </row>
    <row r="130" spans="1:12" ht="31.5" customHeight="1">
      <c r="A130" s="23" t="s">
        <v>382</v>
      </c>
      <c r="B130" s="50" t="s">
        <v>383</v>
      </c>
      <c r="C130" s="7" t="s">
        <v>179</v>
      </c>
      <c r="D130" s="1">
        <v>10</v>
      </c>
      <c r="E130" s="1"/>
      <c r="F130" s="4">
        <v>10</v>
      </c>
      <c r="G130" s="5">
        <f>F130-L129</f>
        <v>10</v>
      </c>
      <c r="H130" s="4">
        <f t="shared" si="12"/>
        <v>0</v>
      </c>
      <c r="I130" s="1">
        <f t="shared" si="13"/>
        <v>100</v>
      </c>
      <c r="J130" s="2"/>
      <c r="L130" s="2"/>
    </row>
    <row r="131" spans="1:12" ht="47.25">
      <c r="A131" s="23"/>
      <c r="B131" s="50" t="s">
        <v>42</v>
      </c>
      <c r="C131" s="63" t="s">
        <v>223</v>
      </c>
      <c r="D131" s="1">
        <v>380</v>
      </c>
      <c r="E131" s="1"/>
      <c r="F131" s="4">
        <v>142.82232</v>
      </c>
      <c r="G131" s="5"/>
      <c r="H131" s="4">
        <f t="shared" si="12"/>
        <v>-237.17768</v>
      </c>
      <c r="I131" s="1">
        <f t="shared" si="13"/>
        <v>37.584821052631575</v>
      </c>
      <c r="J131" s="2"/>
      <c r="L131" s="2"/>
    </row>
    <row r="132" spans="1:12" ht="15.75">
      <c r="A132" s="19" t="s">
        <v>323</v>
      </c>
      <c r="B132" s="72" t="s">
        <v>324</v>
      </c>
      <c r="C132" s="55" t="s">
        <v>111</v>
      </c>
      <c r="D132" s="6">
        <f>D134+D135+D133+D136</f>
        <v>1381.2573699999998</v>
      </c>
      <c r="E132" s="6">
        <f>E134+E135+E133+E136</f>
        <v>336.9</v>
      </c>
      <c r="F132" s="6">
        <f>F134+F135+F133+F136</f>
        <v>686.5715600000001</v>
      </c>
      <c r="G132" s="6">
        <f>G134+G135</f>
        <v>633.6826900000001</v>
      </c>
      <c r="H132" s="5">
        <f t="shared" si="12"/>
        <v>-694.6858099999997</v>
      </c>
      <c r="I132" s="6">
        <f t="shared" si="13"/>
        <v>49.70627306046521</v>
      </c>
      <c r="J132" s="2"/>
      <c r="L132" s="37"/>
    </row>
    <row r="133" spans="1:12" ht="48" customHeight="1">
      <c r="A133" s="19" t="s">
        <v>323</v>
      </c>
      <c r="B133" s="49" t="s">
        <v>21</v>
      </c>
      <c r="C133" s="55" t="s">
        <v>193</v>
      </c>
      <c r="D133" s="1">
        <v>45</v>
      </c>
      <c r="E133" s="1"/>
      <c r="F133" s="1">
        <v>23.22213</v>
      </c>
      <c r="G133" s="1"/>
      <c r="H133" s="4">
        <f t="shared" si="12"/>
        <v>-21.77787</v>
      </c>
      <c r="I133" s="1">
        <f t="shared" si="13"/>
        <v>51.60473333333333</v>
      </c>
      <c r="J133" s="2"/>
      <c r="L133" s="37"/>
    </row>
    <row r="134" spans="1:12" ht="62.25" customHeight="1">
      <c r="A134" s="19" t="s">
        <v>323</v>
      </c>
      <c r="B134" s="49" t="s">
        <v>415</v>
      </c>
      <c r="C134" s="7" t="s">
        <v>224</v>
      </c>
      <c r="D134" s="1">
        <v>70</v>
      </c>
      <c r="E134" s="1">
        <v>15</v>
      </c>
      <c r="F134" s="4">
        <v>47.46801</v>
      </c>
      <c r="G134" s="5">
        <f>F134-L132</f>
        <v>47.46801</v>
      </c>
      <c r="H134" s="4">
        <f t="shared" si="12"/>
        <v>-22.53199</v>
      </c>
      <c r="I134" s="1">
        <f t="shared" si="13"/>
        <v>67.81144285714285</v>
      </c>
      <c r="J134" s="2"/>
      <c r="L134" s="37"/>
    </row>
    <row r="135" spans="1:12" ht="31.5">
      <c r="A135" s="19" t="s">
        <v>323</v>
      </c>
      <c r="B135" s="49" t="s">
        <v>325</v>
      </c>
      <c r="C135" s="7" t="s">
        <v>427</v>
      </c>
      <c r="D135" s="1">
        <v>1205.39737</v>
      </c>
      <c r="E135" s="1">
        <v>321.9</v>
      </c>
      <c r="F135" s="4">
        <v>586.21468</v>
      </c>
      <c r="G135" s="5">
        <f>F135-L134</f>
        <v>586.21468</v>
      </c>
      <c r="H135" s="4">
        <f aca="true" t="shared" si="14" ref="H135:H162">F135-D135</f>
        <v>-619.1826899999999</v>
      </c>
      <c r="I135" s="1">
        <f aca="true" t="shared" si="15" ref="I135:I162">F135/D135*100</f>
        <v>48.6324837426848</v>
      </c>
      <c r="J135" s="2"/>
      <c r="L135" s="37"/>
    </row>
    <row r="136" spans="1:12" ht="46.5" customHeight="1">
      <c r="A136" s="19" t="s">
        <v>323</v>
      </c>
      <c r="B136" s="49" t="s">
        <v>22</v>
      </c>
      <c r="C136" s="55" t="s">
        <v>194</v>
      </c>
      <c r="D136" s="1">
        <v>60.86</v>
      </c>
      <c r="E136" s="1"/>
      <c r="F136" s="4">
        <v>29.66674</v>
      </c>
      <c r="G136" s="5"/>
      <c r="H136" s="4">
        <f t="shared" si="14"/>
        <v>-31.19326</v>
      </c>
      <c r="I136" s="1">
        <f t="shared" si="15"/>
        <v>48.74587578047979</v>
      </c>
      <c r="J136" s="2"/>
      <c r="L136" s="37"/>
    </row>
    <row r="137" spans="1:12" ht="27.75" customHeight="1" hidden="1">
      <c r="A137" s="17" t="s">
        <v>343</v>
      </c>
      <c r="B137" s="48" t="s">
        <v>340</v>
      </c>
      <c r="C137" s="24" t="s">
        <v>7</v>
      </c>
      <c r="D137" s="1"/>
      <c r="E137" s="1"/>
      <c r="F137" s="4"/>
      <c r="G137" s="5">
        <f>F137-L135</f>
        <v>0</v>
      </c>
      <c r="H137" s="4">
        <f t="shared" si="14"/>
        <v>0</v>
      </c>
      <c r="I137" s="1" t="e">
        <f t="shared" si="15"/>
        <v>#DIV/0!</v>
      </c>
      <c r="J137" s="2"/>
      <c r="L137" s="37"/>
    </row>
    <row r="138" spans="1:12" ht="31.5" customHeight="1">
      <c r="A138" s="17" t="s">
        <v>416</v>
      </c>
      <c r="B138" s="64" t="s">
        <v>464</v>
      </c>
      <c r="C138" s="87" t="s">
        <v>199</v>
      </c>
      <c r="D138" s="88">
        <f>D139</f>
        <v>100</v>
      </c>
      <c r="E138" s="88">
        <f>E139</f>
        <v>50</v>
      </c>
      <c r="F138" s="88">
        <f>F139</f>
        <v>0</v>
      </c>
      <c r="G138" s="89">
        <f>G139</f>
        <v>0</v>
      </c>
      <c r="H138" s="5">
        <f t="shared" si="14"/>
        <v>-100</v>
      </c>
      <c r="I138" s="6">
        <f t="shared" si="15"/>
        <v>0</v>
      </c>
      <c r="J138" s="2"/>
      <c r="L138" s="37"/>
    </row>
    <row r="139" spans="1:12" ht="29.25" customHeight="1">
      <c r="A139" s="19" t="s">
        <v>416</v>
      </c>
      <c r="B139" s="49" t="s">
        <v>417</v>
      </c>
      <c r="C139" s="7" t="s">
        <v>202</v>
      </c>
      <c r="D139" s="9">
        <v>100</v>
      </c>
      <c r="E139" s="9">
        <v>50</v>
      </c>
      <c r="F139" s="4">
        <v>0</v>
      </c>
      <c r="G139" s="5">
        <f>F139-L138</f>
        <v>0</v>
      </c>
      <c r="H139" s="4">
        <f t="shared" si="14"/>
        <v>-100</v>
      </c>
      <c r="I139" s="1">
        <f t="shared" si="15"/>
        <v>0</v>
      </c>
      <c r="J139" s="2"/>
      <c r="L139" s="2"/>
    </row>
    <row r="140" spans="1:12" ht="30" customHeight="1" hidden="1">
      <c r="A140" s="19" t="s">
        <v>416</v>
      </c>
      <c r="B140" s="49" t="s">
        <v>478</v>
      </c>
      <c r="C140" s="7" t="s">
        <v>480</v>
      </c>
      <c r="D140" s="9"/>
      <c r="E140" s="9"/>
      <c r="F140" s="4"/>
      <c r="G140" s="5"/>
      <c r="H140" s="4">
        <f t="shared" si="14"/>
        <v>0</v>
      </c>
      <c r="I140" s="1" t="e">
        <f t="shared" si="15"/>
        <v>#DIV/0!</v>
      </c>
      <c r="J140" s="2"/>
      <c r="L140" s="2"/>
    </row>
    <row r="141" spans="1:12" ht="31.5">
      <c r="A141" s="17"/>
      <c r="B141" s="64" t="s">
        <v>367</v>
      </c>
      <c r="C141" s="74" t="s">
        <v>198</v>
      </c>
      <c r="D141" s="6">
        <f>SUM(D142:D146)</f>
        <v>776.12</v>
      </c>
      <c r="E141" s="6">
        <f>SUM(E142:E146)</f>
        <v>447.1</v>
      </c>
      <c r="F141" s="6">
        <f>SUM(F142:F146)</f>
        <v>335.1982</v>
      </c>
      <c r="G141" s="6">
        <f>SUM(G142:G144)</f>
        <v>247.0846</v>
      </c>
      <c r="H141" s="5">
        <f t="shared" si="14"/>
        <v>-440.9218</v>
      </c>
      <c r="I141" s="6">
        <f t="shared" si="15"/>
        <v>43.18896562387259</v>
      </c>
      <c r="J141" s="2"/>
      <c r="L141" s="37"/>
    </row>
    <row r="142" spans="1:12" ht="50.25" customHeight="1" hidden="1">
      <c r="A142" s="17" t="s">
        <v>326</v>
      </c>
      <c r="B142" s="64" t="s">
        <v>327</v>
      </c>
      <c r="C142" s="55" t="s">
        <v>9</v>
      </c>
      <c r="D142" s="6">
        <v>0</v>
      </c>
      <c r="E142" s="6">
        <v>140</v>
      </c>
      <c r="F142" s="5"/>
      <c r="G142" s="5">
        <f>F142-L141</f>
        <v>0</v>
      </c>
      <c r="H142" s="5">
        <f t="shared" si="14"/>
        <v>0</v>
      </c>
      <c r="I142" s="6" t="e">
        <f t="shared" si="15"/>
        <v>#DIV/0!</v>
      </c>
      <c r="J142" s="2"/>
      <c r="L142" s="37"/>
    </row>
    <row r="143" spans="1:12" ht="48" customHeight="1">
      <c r="A143" s="17" t="s">
        <v>326</v>
      </c>
      <c r="B143" s="64" t="s">
        <v>327</v>
      </c>
      <c r="C143" s="55" t="s">
        <v>195</v>
      </c>
      <c r="D143" s="6">
        <v>408.6</v>
      </c>
      <c r="E143" s="6">
        <v>292.6</v>
      </c>
      <c r="F143" s="5">
        <v>236.3886</v>
      </c>
      <c r="G143" s="5">
        <f>F143-L142</f>
        <v>236.3886</v>
      </c>
      <c r="H143" s="5">
        <f t="shared" si="14"/>
        <v>-172.21140000000003</v>
      </c>
      <c r="I143" s="6">
        <f t="shared" si="15"/>
        <v>57.85330396475771</v>
      </c>
      <c r="J143" s="2"/>
      <c r="L143" s="37"/>
    </row>
    <row r="144" spans="1:12" ht="48.75" customHeight="1">
      <c r="A144" s="17" t="s">
        <v>326</v>
      </c>
      <c r="B144" s="64" t="s">
        <v>389</v>
      </c>
      <c r="C144" s="63" t="s">
        <v>196</v>
      </c>
      <c r="D144" s="6">
        <v>18</v>
      </c>
      <c r="E144" s="6">
        <v>12.5</v>
      </c>
      <c r="F144" s="5">
        <v>10.696</v>
      </c>
      <c r="G144" s="5">
        <f>F144-L143</f>
        <v>10.696</v>
      </c>
      <c r="H144" s="5">
        <f t="shared" si="14"/>
        <v>-7.304</v>
      </c>
      <c r="I144" s="6">
        <f t="shared" si="15"/>
        <v>59.42222222222222</v>
      </c>
      <c r="J144" s="2"/>
      <c r="L144" s="37"/>
    </row>
    <row r="145" spans="1:12" ht="31.5" hidden="1">
      <c r="A145" s="17" t="s">
        <v>328</v>
      </c>
      <c r="B145" s="64" t="s">
        <v>435</v>
      </c>
      <c r="C145" s="63" t="s">
        <v>10</v>
      </c>
      <c r="D145" s="6">
        <v>0</v>
      </c>
      <c r="E145" s="6">
        <v>2</v>
      </c>
      <c r="F145" s="5">
        <v>0</v>
      </c>
      <c r="G145" s="5">
        <f>F145-L144</f>
        <v>0</v>
      </c>
      <c r="H145" s="5">
        <f t="shared" si="14"/>
        <v>0</v>
      </c>
      <c r="I145" s="6" t="e">
        <f t="shared" si="15"/>
        <v>#DIV/0!</v>
      </c>
      <c r="J145" s="2"/>
      <c r="L145" s="37"/>
    </row>
    <row r="146" spans="1:12" ht="49.5" customHeight="1">
      <c r="A146" s="17" t="s">
        <v>326</v>
      </c>
      <c r="B146" s="64" t="s">
        <v>327</v>
      </c>
      <c r="C146" s="63" t="s">
        <v>225</v>
      </c>
      <c r="D146" s="6">
        <v>349.52</v>
      </c>
      <c r="E146" s="6"/>
      <c r="F146" s="5">
        <v>88.1136</v>
      </c>
      <c r="G146" s="5"/>
      <c r="H146" s="5">
        <f t="shared" si="14"/>
        <v>-261.40639999999996</v>
      </c>
      <c r="I146" s="6">
        <f t="shared" si="15"/>
        <v>25.209887846189062</v>
      </c>
      <c r="J146" s="2"/>
      <c r="L146" s="37"/>
    </row>
    <row r="147" spans="1:12" ht="31.5">
      <c r="A147" s="17"/>
      <c r="B147" s="64" t="s">
        <v>48</v>
      </c>
      <c r="C147" s="63" t="s">
        <v>197</v>
      </c>
      <c r="D147" s="6">
        <f>D148+D149+D150+D153+D151+D152</f>
        <v>339.14347</v>
      </c>
      <c r="E147" s="6">
        <f>E148+E149+E150+E153+E151+E152</f>
        <v>10</v>
      </c>
      <c r="F147" s="6">
        <f>F148+F149+F150+F153+F151+F152</f>
        <v>184.86908</v>
      </c>
      <c r="G147" s="5"/>
      <c r="H147" s="5">
        <f t="shared" si="14"/>
        <v>-154.27438999999998</v>
      </c>
      <c r="I147" s="6">
        <f t="shared" si="15"/>
        <v>54.51058220286535</v>
      </c>
      <c r="J147" s="2"/>
      <c r="L147" s="37"/>
    </row>
    <row r="148" spans="1:12" ht="65.25" customHeight="1">
      <c r="A148" s="17"/>
      <c r="B148" s="64" t="s">
        <v>435</v>
      </c>
      <c r="C148" s="63" t="s">
        <v>129</v>
      </c>
      <c r="D148" s="6">
        <v>20.385</v>
      </c>
      <c r="E148" s="6"/>
      <c r="F148" s="5">
        <v>0.385</v>
      </c>
      <c r="G148" s="5"/>
      <c r="H148" s="5">
        <f t="shared" si="14"/>
        <v>-20</v>
      </c>
      <c r="I148" s="6">
        <f t="shared" si="15"/>
        <v>1.888643610497915</v>
      </c>
      <c r="J148" s="2"/>
      <c r="L148" s="37"/>
    </row>
    <row r="149" spans="1:12" ht="63">
      <c r="A149" s="17" t="s">
        <v>328</v>
      </c>
      <c r="B149" s="64" t="s">
        <v>435</v>
      </c>
      <c r="C149" s="63" t="s">
        <v>201</v>
      </c>
      <c r="D149" s="6">
        <v>20.75847</v>
      </c>
      <c r="E149" s="6">
        <v>10</v>
      </c>
      <c r="F149" s="5">
        <v>2.97127</v>
      </c>
      <c r="G149" s="5">
        <f>F149-L145</f>
        <v>2.97127</v>
      </c>
      <c r="H149" s="5">
        <f t="shared" si="14"/>
        <v>-17.7872</v>
      </c>
      <c r="I149" s="6">
        <f t="shared" si="15"/>
        <v>14.313530814168868</v>
      </c>
      <c r="J149" s="2"/>
      <c r="L149" s="37"/>
    </row>
    <row r="150" spans="1:12" ht="47.25">
      <c r="A150" s="25" t="s">
        <v>328</v>
      </c>
      <c r="B150" s="64" t="s">
        <v>435</v>
      </c>
      <c r="C150" s="63" t="s">
        <v>226</v>
      </c>
      <c r="D150" s="6">
        <v>30</v>
      </c>
      <c r="E150" s="6"/>
      <c r="F150" s="5">
        <v>0</v>
      </c>
      <c r="G150" s="5"/>
      <c r="H150" s="5">
        <f t="shared" si="14"/>
        <v>-30</v>
      </c>
      <c r="I150" s="6">
        <f t="shared" si="15"/>
        <v>0</v>
      </c>
      <c r="J150" s="2"/>
      <c r="L150" s="37"/>
    </row>
    <row r="151" spans="1:12" ht="63.75" customHeight="1">
      <c r="A151" s="25"/>
      <c r="B151" s="64" t="s">
        <v>435</v>
      </c>
      <c r="C151" s="63" t="s">
        <v>201</v>
      </c>
      <c r="D151" s="6">
        <v>238</v>
      </c>
      <c r="E151" s="6"/>
      <c r="F151" s="5">
        <v>162.71281</v>
      </c>
      <c r="G151" s="5"/>
      <c r="H151" s="5">
        <f t="shared" si="14"/>
        <v>-75.28719000000001</v>
      </c>
      <c r="I151" s="6">
        <f t="shared" si="15"/>
        <v>68.3667268907563</v>
      </c>
      <c r="J151" s="2"/>
      <c r="L151" s="37"/>
    </row>
    <row r="152" spans="1:12" ht="31.5">
      <c r="A152" s="25"/>
      <c r="B152" s="64" t="s">
        <v>435</v>
      </c>
      <c r="C152" s="63" t="s">
        <v>130</v>
      </c>
      <c r="D152" s="6">
        <v>20</v>
      </c>
      <c r="E152" s="6"/>
      <c r="F152" s="5">
        <v>18.8</v>
      </c>
      <c r="G152" s="5"/>
      <c r="H152" s="5">
        <f t="shared" si="14"/>
        <v>-1.1999999999999993</v>
      </c>
      <c r="I152" s="6">
        <f t="shared" si="15"/>
        <v>94</v>
      </c>
      <c r="J152" s="2"/>
      <c r="L152" s="37"/>
    </row>
    <row r="153" spans="1:12" ht="30.75" customHeight="1">
      <c r="A153" s="25" t="s">
        <v>328</v>
      </c>
      <c r="B153" s="64" t="s">
        <v>203</v>
      </c>
      <c r="C153" s="63" t="s">
        <v>204</v>
      </c>
      <c r="D153" s="6">
        <v>10</v>
      </c>
      <c r="E153" s="6"/>
      <c r="F153" s="5">
        <v>0</v>
      </c>
      <c r="G153" s="5"/>
      <c r="H153" s="5">
        <f t="shared" si="14"/>
        <v>-10</v>
      </c>
      <c r="I153" s="6">
        <f t="shared" si="15"/>
        <v>0</v>
      </c>
      <c r="J153" s="2"/>
      <c r="L153" s="37"/>
    </row>
    <row r="154" spans="1:12" ht="32.25" customHeight="1">
      <c r="A154" s="17" t="s">
        <v>418</v>
      </c>
      <c r="B154" s="64" t="s">
        <v>465</v>
      </c>
      <c r="C154" s="55" t="s">
        <v>207</v>
      </c>
      <c r="D154" s="6">
        <f>D155+D156</f>
        <v>288.5</v>
      </c>
      <c r="E154" s="6">
        <f>E155+E156</f>
        <v>119.7</v>
      </c>
      <c r="F154" s="6">
        <f>F155+F156</f>
        <v>133.70394</v>
      </c>
      <c r="G154" s="5"/>
      <c r="H154" s="5">
        <f t="shared" si="14"/>
        <v>-154.79606</v>
      </c>
      <c r="I154" s="6">
        <f t="shared" si="15"/>
        <v>46.3445199306759</v>
      </c>
      <c r="J154" s="2"/>
      <c r="L154" s="37"/>
    </row>
    <row r="155" spans="1:12" ht="60" customHeight="1">
      <c r="A155" s="17" t="s">
        <v>418</v>
      </c>
      <c r="B155" s="64" t="s">
        <v>347</v>
      </c>
      <c r="C155" s="55" t="s">
        <v>208</v>
      </c>
      <c r="D155" s="6">
        <f>42.5-3</f>
        <v>39.5</v>
      </c>
      <c r="E155" s="6">
        <v>20</v>
      </c>
      <c r="F155" s="5">
        <v>7.38015</v>
      </c>
      <c r="G155" s="5">
        <f>F155-L154</f>
        <v>7.38015</v>
      </c>
      <c r="H155" s="5">
        <f t="shared" si="14"/>
        <v>-32.11985</v>
      </c>
      <c r="I155" s="6">
        <f t="shared" si="15"/>
        <v>18.683924050632914</v>
      </c>
      <c r="J155" s="2"/>
      <c r="L155" s="37"/>
    </row>
    <row r="156" spans="1:12" ht="31.5">
      <c r="A156" s="17" t="s">
        <v>418</v>
      </c>
      <c r="B156" s="64" t="s">
        <v>339</v>
      </c>
      <c r="C156" s="55" t="s">
        <v>472</v>
      </c>
      <c r="D156" s="6">
        <v>249</v>
      </c>
      <c r="E156" s="6">
        <v>99.7</v>
      </c>
      <c r="F156" s="5">
        <v>126.32379</v>
      </c>
      <c r="G156" s="5">
        <f>F156-L155</f>
        <v>126.32379</v>
      </c>
      <c r="H156" s="5">
        <f t="shared" si="14"/>
        <v>-122.67621</v>
      </c>
      <c r="I156" s="6">
        <f t="shared" si="15"/>
        <v>50.732445783132526</v>
      </c>
      <c r="J156" s="2"/>
      <c r="L156" s="37"/>
    </row>
    <row r="157" spans="1:12" ht="15" customHeight="1">
      <c r="A157" s="17"/>
      <c r="B157" s="64" t="s">
        <v>466</v>
      </c>
      <c r="C157" s="55" t="s">
        <v>209</v>
      </c>
      <c r="D157" s="6">
        <f>D159+D168+D170+D171+D172+D173+D174+D175+D178+D177+D169+D160+D176</f>
        <v>441.77134</v>
      </c>
      <c r="E157" s="6">
        <f>E159+E168+E170+E171+E172+E173+E174+E175+E178+E177+E169+E160+E176</f>
        <v>0</v>
      </c>
      <c r="F157" s="6">
        <f>F159+F168+F170+F171+F172+F173+F174+F175+F178+F177+F169+F160+F176</f>
        <v>146.92161</v>
      </c>
      <c r="G157" s="6" t="e">
        <f>G158+G159+G160+G161+G164+G165+G170+G171+G178+#REF!+#REF!+#REF!</f>
        <v>#REF!</v>
      </c>
      <c r="H157" s="5">
        <f t="shared" si="14"/>
        <v>-294.84973</v>
      </c>
      <c r="I157" s="6">
        <f t="shared" si="15"/>
        <v>33.2573883131486</v>
      </c>
      <c r="J157" s="2"/>
      <c r="L157" s="37"/>
    </row>
    <row r="158" spans="1:12" ht="13.5" customHeight="1" hidden="1">
      <c r="A158" s="17" t="s">
        <v>329</v>
      </c>
      <c r="B158" s="48" t="s">
        <v>330</v>
      </c>
      <c r="C158" s="18" t="s">
        <v>364</v>
      </c>
      <c r="D158" s="1">
        <v>0</v>
      </c>
      <c r="E158" s="1">
        <v>60</v>
      </c>
      <c r="F158" s="4">
        <v>0</v>
      </c>
      <c r="G158" s="5">
        <f>F158-L157</f>
        <v>0</v>
      </c>
      <c r="H158" s="4">
        <f t="shared" si="14"/>
        <v>0</v>
      </c>
      <c r="I158" s="1" t="e">
        <f t="shared" si="15"/>
        <v>#DIV/0!</v>
      </c>
      <c r="J158" s="2"/>
      <c r="L158" s="2"/>
    </row>
    <row r="159" spans="1:12" ht="47.25" hidden="1">
      <c r="A159" s="17" t="s">
        <v>329</v>
      </c>
      <c r="B159" s="64" t="s">
        <v>428</v>
      </c>
      <c r="C159" s="55" t="s">
        <v>210</v>
      </c>
      <c r="D159" s="6"/>
      <c r="E159" s="6"/>
      <c r="F159" s="6"/>
      <c r="G159" s="5">
        <f>F159-L158</f>
        <v>0</v>
      </c>
      <c r="H159" s="5">
        <f t="shared" si="14"/>
        <v>0</v>
      </c>
      <c r="I159" s="6" t="e">
        <f t="shared" si="15"/>
        <v>#DIV/0!</v>
      </c>
      <c r="J159" s="2"/>
      <c r="L159" s="37"/>
    </row>
    <row r="160" spans="1:12" ht="51.75" customHeight="1" hidden="1">
      <c r="A160" s="17" t="s">
        <v>332</v>
      </c>
      <c r="B160" s="48" t="s">
        <v>428</v>
      </c>
      <c r="C160" s="7" t="s">
        <v>211</v>
      </c>
      <c r="D160" s="1"/>
      <c r="E160" s="1"/>
      <c r="F160" s="4"/>
      <c r="G160" s="5">
        <f>F160-L159</f>
        <v>0</v>
      </c>
      <c r="H160" s="4">
        <f t="shared" si="14"/>
        <v>0</v>
      </c>
      <c r="I160" s="1" t="e">
        <f t="shared" si="15"/>
        <v>#DIV/0!</v>
      </c>
      <c r="J160" s="2"/>
      <c r="L160" s="37"/>
    </row>
    <row r="161" spans="1:12" ht="15" customHeight="1" hidden="1">
      <c r="A161" s="19" t="s">
        <v>332</v>
      </c>
      <c r="B161" s="49" t="s">
        <v>338</v>
      </c>
      <c r="C161" s="26" t="s">
        <v>3</v>
      </c>
      <c r="D161" s="1">
        <v>0</v>
      </c>
      <c r="E161" s="1"/>
      <c r="F161" s="4"/>
      <c r="G161" s="5">
        <f>F161-L160</f>
        <v>0</v>
      </c>
      <c r="H161" s="4">
        <f t="shared" si="14"/>
        <v>0</v>
      </c>
      <c r="I161" s="1" t="e">
        <f t="shared" si="15"/>
        <v>#DIV/0!</v>
      </c>
      <c r="J161" s="2"/>
      <c r="L161" s="2"/>
    </row>
    <row r="162" spans="1:12" ht="12.75" customHeight="1" hidden="1">
      <c r="A162" s="17" t="s">
        <v>329</v>
      </c>
      <c r="B162" s="48" t="s">
        <v>331</v>
      </c>
      <c r="C162" s="7" t="s">
        <v>437</v>
      </c>
      <c r="D162" s="1"/>
      <c r="E162" s="1">
        <v>0</v>
      </c>
      <c r="F162" s="1"/>
      <c r="G162" s="5">
        <f>F162-L161</f>
        <v>0</v>
      </c>
      <c r="H162" s="4">
        <f t="shared" si="14"/>
        <v>0</v>
      </c>
      <c r="I162" s="1" t="e">
        <f t="shared" si="15"/>
        <v>#DIV/0!</v>
      </c>
      <c r="J162" s="2"/>
      <c r="L162" s="2"/>
    </row>
    <row r="163" spans="1:12" ht="11.25" customHeight="1" hidden="1">
      <c r="A163" s="25"/>
      <c r="B163" s="51"/>
      <c r="C163" s="7"/>
      <c r="D163" s="10"/>
      <c r="E163" s="10"/>
      <c r="F163" s="10"/>
      <c r="G163" s="8"/>
      <c r="H163" s="8"/>
      <c r="I163" s="10"/>
      <c r="J163" s="2"/>
      <c r="L163" s="2"/>
    </row>
    <row r="164" spans="1:12" ht="14.25" customHeight="1" hidden="1">
      <c r="A164" s="17" t="s">
        <v>329</v>
      </c>
      <c r="B164" s="48" t="s">
        <v>331</v>
      </c>
      <c r="C164" s="7" t="s">
        <v>5</v>
      </c>
      <c r="D164" s="6"/>
      <c r="E164" s="1"/>
      <c r="F164" s="1"/>
      <c r="G164" s="5"/>
      <c r="H164" s="4">
        <f aca="true" t="shared" si="16" ref="H164:H183">F164-D164</f>
        <v>0</v>
      </c>
      <c r="I164" s="1" t="e">
        <f aca="true" t="shared" si="17" ref="I164:I183">F164/D164*100</f>
        <v>#DIV/0!</v>
      </c>
      <c r="J164" s="2"/>
      <c r="L164" s="2"/>
    </row>
    <row r="165" spans="1:12" ht="13.5" customHeight="1" hidden="1">
      <c r="A165" s="17" t="s">
        <v>329</v>
      </c>
      <c r="B165" s="48" t="s">
        <v>331</v>
      </c>
      <c r="C165" s="7" t="s">
        <v>4</v>
      </c>
      <c r="D165" s="6"/>
      <c r="E165" s="1">
        <v>0.3</v>
      </c>
      <c r="F165" s="1"/>
      <c r="G165" s="5">
        <f>F165-L163</f>
        <v>0</v>
      </c>
      <c r="H165" s="4">
        <f t="shared" si="16"/>
        <v>0</v>
      </c>
      <c r="I165" s="1" t="e">
        <f t="shared" si="17"/>
        <v>#DIV/0!</v>
      </c>
      <c r="J165" s="2"/>
      <c r="L165" s="2"/>
    </row>
    <row r="166" spans="1:12" ht="12.75" customHeight="1" hidden="1">
      <c r="A166" s="17" t="s">
        <v>329</v>
      </c>
      <c r="B166" s="48" t="s">
        <v>331</v>
      </c>
      <c r="C166" s="7" t="s">
        <v>450</v>
      </c>
      <c r="D166" s="11">
        <v>0</v>
      </c>
      <c r="E166" s="1">
        <v>2.5</v>
      </c>
      <c r="F166" s="1">
        <v>0</v>
      </c>
      <c r="G166" s="5">
        <f>F166-L165</f>
        <v>0</v>
      </c>
      <c r="H166" s="4">
        <f t="shared" si="16"/>
        <v>0</v>
      </c>
      <c r="I166" s="1" t="e">
        <f t="shared" si="17"/>
        <v>#DIV/0!</v>
      </c>
      <c r="J166" s="2"/>
      <c r="L166" s="2"/>
    </row>
    <row r="167" spans="1:12" ht="13.5" customHeight="1" hidden="1">
      <c r="A167" s="17" t="s">
        <v>329</v>
      </c>
      <c r="B167" s="48" t="s">
        <v>331</v>
      </c>
      <c r="C167" s="7" t="s">
        <v>477</v>
      </c>
      <c r="D167" s="6"/>
      <c r="E167" s="1">
        <v>50</v>
      </c>
      <c r="F167" s="1">
        <v>0</v>
      </c>
      <c r="G167" s="5">
        <f>F167-L166</f>
        <v>0</v>
      </c>
      <c r="H167" s="4">
        <f t="shared" si="16"/>
        <v>0</v>
      </c>
      <c r="I167" s="1" t="e">
        <f t="shared" si="17"/>
        <v>#DIV/0!</v>
      </c>
      <c r="J167" s="2"/>
      <c r="L167" s="2"/>
    </row>
    <row r="168" spans="1:12" ht="12" customHeight="1" hidden="1">
      <c r="A168" s="17" t="s">
        <v>329</v>
      </c>
      <c r="B168" s="48" t="s">
        <v>330</v>
      </c>
      <c r="C168" s="7" t="s">
        <v>364</v>
      </c>
      <c r="D168" s="6"/>
      <c r="E168" s="1"/>
      <c r="F168" s="1">
        <v>0</v>
      </c>
      <c r="G168" s="5"/>
      <c r="H168" s="4">
        <f t="shared" si="16"/>
        <v>0</v>
      </c>
      <c r="I168" s="1" t="e">
        <f t="shared" si="17"/>
        <v>#DIV/0!</v>
      </c>
      <c r="J168" s="2"/>
      <c r="L168" s="2"/>
    </row>
    <row r="169" spans="1:12" ht="21" customHeight="1" hidden="1">
      <c r="A169" s="17"/>
      <c r="B169" s="48" t="s">
        <v>80</v>
      </c>
      <c r="C169" s="7" t="s">
        <v>81</v>
      </c>
      <c r="D169" s="6"/>
      <c r="E169" s="1"/>
      <c r="F169" s="1">
        <v>0</v>
      </c>
      <c r="G169" s="5"/>
      <c r="H169" s="4">
        <f t="shared" si="16"/>
        <v>0</v>
      </c>
      <c r="I169" s="1" t="e">
        <f t="shared" si="17"/>
        <v>#DIV/0!</v>
      </c>
      <c r="J169" s="2"/>
      <c r="L169" s="2"/>
    </row>
    <row r="170" spans="1:12" ht="48.75" customHeight="1">
      <c r="A170" s="17" t="s">
        <v>332</v>
      </c>
      <c r="B170" s="48" t="s">
        <v>467</v>
      </c>
      <c r="C170" s="7" t="s">
        <v>227</v>
      </c>
      <c r="D170" s="6">
        <v>119</v>
      </c>
      <c r="E170" s="1"/>
      <c r="F170" s="1">
        <v>45.56525</v>
      </c>
      <c r="G170" s="5"/>
      <c r="H170" s="4">
        <f t="shared" si="16"/>
        <v>-73.43475000000001</v>
      </c>
      <c r="I170" s="1">
        <f t="shared" si="17"/>
        <v>38.29012605042016</v>
      </c>
      <c r="J170" s="2"/>
      <c r="L170" s="2"/>
    </row>
    <row r="171" spans="1:12" ht="63">
      <c r="A171" s="17" t="s">
        <v>332</v>
      </c>
      <c r="B171" s="48" t="s">
        <v>467</v>
      </c>
      <c r="C171" s="7" t="s">
        <v>212</v>
      </c>
      <c r="D171" s="6">
        <v>15</v>
      </c>
      <c r="E171" s="1"/>
      <c r="F171" s="1">
        <v>7.2992</v>
      </c>
      <c r="G171" s="5"/>
      <c r="H171" s="4">
        <f t="shared" si="16"/>
        <v>-7.7008</v>
      </c>
      <c r="I171" s="1">
        <f t="shared" si="17"/>
        <v>48.66133333333333</v>
      </c>
      <c r="J171" s="2"/>
      <c r="L171" s="2"/>
    </row>
    <row r="172" spans="1:12" ht="63">
      <c r="A172" s="17"/>
      <c r="B172" s="48" t="s">
        <v>467</v>
      </c>
      <c r="C172" s="7" t="s">
        <v>228</v>
      </c>
      <c r="D172" s="6">
        <f>70-2.5</f>
        <v>67.5</v>
      </c>
      <c r="E172" s="1"/>
      <c r="F172" s="1">
        <v>2.43038</v>
      </c>
      <c r="G172" s="5"/>
      <c r="H172" s="4">
        <f t="shared" si="16"/>
        <v>-65.06962</v>
      </c>
      <c r="I172" s="1">
        <f t="shared" si="17"/>
        <v>3.600562962962963</v>
      </c>
      <c r="J172" s="2"/>
      <c r="L172" s="2"/>
    </row>
    <row r="173" spans="1:12" ht="78.75">
      <c r="A173" s="17"/>
      <c r="B173" s="48" t="s">
        <v>467</v>
      </c>
      <c r="C173" s="7" t="s">
        <v>273</v>
      </c>
      <c r="D173" s="6">
        <v>15</v>
      </c>
      <c r="E173" s="1"/>
      <c r="F173" s="1">
        <v>7.34931</v>
      </c>
      <c r="G173" s="5"/>
      <c r="H173" s="4">
        <f t="shared" si="16"/>
        <v>-7.65069</v>
      </c>
      <c r="I173" s="1">
        <f t="shared" si="17"/>
        <v>48.995400000000004</v>
      </c>
      <c r="J173" s="2"/>
      <c r="L173" s="2"/>
    </row>
    <row r="174" spans="1:12" ht="63">
      <c r="A174" s="17"/>
      <c r="B174" s="48" t="s">
        <v>467</v>
      </c>
      <c r="C174" s="7" t="s">
        <v>214</v>
      </c>
      <c r="D174" s="6">
        <v>45</v>
      </c>
      <c r="E174" s="1"/>
      <c r="F174" s="1">
        <v>20.38014</v>
      </c>
      <c r="G174" s="5"/>
      <c r="H174" s="4">
        <f t="shared" si="16"/>
        <v>-24.61986</v>
      </c>
      <c r="I174" s="1">
        <f t="shared" si="17"/>
        <v>45.2892</v>
      </c>
      <c r="J174" s="2"/>
      <c r="L174" s="2"/>
    </row>
    <row r="175" spans="1:12" ht="78" customHeight="1">
      <c r="A175" s="17"/>
      <c r="B175" s="48" t="s">
        <v>467</v>
      </c>
      <c r="C175" s="7" t="s">
        <v>215</v>
      </c>
      <c r="D175" s="6">
        <f>32-18</f>
        <v>14</v>
      </c>
      <c r="E175" s="1"/>
      <c r="F175" s="1">
        <v>0</v>
      </c>
      <c r="G175" s="5"/>
      <c r="H175" s="4">
        <f t="shared" si="16"/>
        <v>-14</v>
      </c>
      <c r="I175" s="1">
        <f t="shared" si="17"/>
        <v>0</v>
      </c>
      <c r="J175" s="2"/>
      <c r="L175" s="2"/>
    </row>
    <row r="176" spans="1:12" ht="78.75" hidden="1">
      <c r="A176" s="17"/>
      <c r="B176" s="48" t="s">
        <v>467</v>
      </c>
      <c r="C176" s="7" t="s">
        <v>183</v>
      </c>
      <c r="D176" s="6">
        <f>110-110</f>
        <v>0</v>
      </c>
      <c r="E176" s="1"/>
      <c r="F176" s="1">
        <v>0</v>
      </c>
      <c r="G176" s="5"/>
      <c r="H176" s="4">
        <f t="shared" si="16"/>
        <v>0</v>
      </c>
      <c r="I176" s="1" t="e">
        <f t="shared" si="17"/>
        <v>#DIV/0!</v>
      </c>
      <c r="J176" s="2"/>
      <c r="L176" s="2"/>
    </row>
    <row r="177" spans="1:12" ht="78.75">
      <c r="A177" s="17"/>
      <c r="B177" s="48" t="s">
        <v>467</v>
      </c>
      <c r="C177" s="7" t="s">
        <v>79</v>
      </c>
      <c r="D177" s="6">
        <v>34.6</v>
      </c>
      <c r="E177" s="1"/>
      <c r="F177" s="1">
        <v>0</v>
      </c>
      <c r="G177" s="5"/>
      <c r="H177" s="4">
        <f t="shared" si="16"/>
        <v>-34.6</v>
      </c>
      <c r="I177" s="1">
        <f t="shared" si="17"/>
        <v>0</v>
      </c>
      <c r="J177" s="2"/>
      <c r="L177" s="2"/>
    </row>
    <row r="178" spans="1:12" ht="14.25" customHeight="1">
      <c r="A178" s="17" t="s">
        <v>332</v>
      </c>
      <c r="B178" s="48" t="s">
        <v>331</v>
      </c>
      <c r="C178" s="7" t="s">
        <v>216</v>
      </c>
      <c r="D178" s="6">
        <v>131.67134</v>
      </c>
      <c r="E178" s="1"/>
      <c r="F178" s="1">
        <v>63.89733</v>
      </c>
      <c r="G178" s="5"/>
      <c r="H178" s="4">
        <f t="shared" si="16"/>
        <v>-67.77400999999999</v>
      </c>
      <c r="I178" s="1">
        <f t="shared" si="17"/>
        <v>48.52789528837483</v>
      </c>
      <c r="J178" s="2"/>
      <c r="L178" s="2"/>
    </row>
    <row r="179" spans="1:12" ht="13.5" customHeight="1" hidden="1">
      <c r="A179" s="17"/>
      <c r="B179" s="48" t="s">
        <v>467</v>
      </c>
      <c r="C179" s="7" t="s">
        <v>16</v>
      </c>
      <c r="D179" s="6"/>
      <c r="E179" s="1"/>
      <c r="F179" s="1">
        <v>0</v>
      </c>
      <c r="G179" s="5"/>
      <c r="H179" s="4">
        <f t="shared" si="16"/>
        <v>0</v>
      </c>
      <c r="I179" s="1" t="e">
        <f t="shared" si="17"/>
        <v>#DIV/0!</v>
      </c>
      <c r="J179" s="2"/>
      <c r="L179" s="2"/>
    </row>
    <row r="180" spans="1:12" ht="15.75">
      <c r="A180" s="90"/>
      <c r="B180" s="64"/>
      <c r="C180" s="55" t="s">
        <v>419</v>
      </c>
      <c r="D180" s="6">
        <f>D10+D20+D21+D38+D113+D120+D127+D132+D138+D141+D147+D154+D157</f>
        <v>124107.36365000003</v>
      </c>
      <c r="E180" s="6">
        <f>E10+E20+E21+E38+E113+E120+E127+E132+E138+E141+E147+E154+E157</f>
        <v>36216.49999999999</v>
      </c>
      <c r="F180" s="6">
        <f>F10+F20+F21+F38+F113+F120+F127+F132+F138+F141+F147+F154+F157</f>
        <v>60140.741829999984</v>
      </c>
      <c r="G180" s="6" t="e">
        <f>G10+G21+G36+G38+G113+G120+G127+G132+G137+G139+G141+G145+G149+G155+G156+G158+G159+G161+G160+G162+G163+G165+G166+G167</f>
        <v>#REF!</v>
      </c>
      <c r="H180" s="5">
        <f t="shared" si="16"/>
        <v>-63966.621820000044</v>
      </c>
      <c r="I180" s="6">
        <f t="shared" si="17"/>
        <v>48.4586410195653</v>
      </c>
      <c r="J180" s="2"/>
      <c r="L180" s="37"/>
    </row>
    <row r="181" spans="1:12" ht="18.75" customHeight="1">
      <c r="A181" s="90" t="s">
        <v>332</v>
      </c>
      <c r="B181" s="64" t="s">
        <v>333</v>
      </c>
      <c r="C181" s="55" t="s">
        <v>420</v>
      </c>
      <c r="D181" s="6">
        <v>42313.4</v>
      </c>
      <c r="E181" s="6">
        <v>10216.7</v>
      </c>
      <c r="F181" s="5">
        <v>19629.0671</v>
      </c>
      <c r="G181" s="5">
        <f>F181-L180</f>
        <v>19629.0671</v>
      </c>
      <c r="H181" s="5">
        <f t="shared" si="16"/>
        <v>-22684.3329</v>
      </c>
      <c r="I181" s="6">
        <f t="shared" si="17"/>
        <v>46.38971838708305</v>
      </c>
      <c r="J181" s="2"/>
      <c r="L181" s="2"/>
    </row>
    <row r="182" spans="1:12" ht="33.75" customHeight="1">
      <c r="A182" s="90"/>
      <c r="B182" s="64" t="s">
        <v>131</v>
      </c>
      <c r="C182" s="55" t="s">
        <v>404</v>
      </c>
      <c r="D182" s="6">
        <v>135.012</v>
      </c>
      <c r="E182" s="6"/>
      <c r="F182" s="5">
        <v>135.01154</v>
      </c>
      <c r="G182" s="5"/>
      <c r="H182" s="5">
        <f t="shared" si="16"/>
        <v>-0.00046000000000390173</v>
      </c>
      <c r="I182" s="6">
        <f t="shared" si="17"/>
        <v>99.99965928954462</v>
      </c>
      <c r="J182" s="2"/>
      <c r="L182" s="2"/>
    </row>
    <row r="183" spans="1:12" ht="15.75">
      <c r="A183" s="90"/>
      <c r="B183" s="90"/>
      <c r="C183" s="55" t="s">
        <v>289</v>
      </c>
      <c r="D183" s="6">
        <f>SUM(D180:D182)</f>
        <v>166555.77565000003</v>
      </c>
      <c r="E183" s="6">
        <f>SUM(E180:E182)</f>
        <v>46433.2</v>
      </c>
      <c r="F183" s="6">
        <f>SUM(F180:F182)</f>
        <v>79904.82046999999</v>
      </c>
      <c r="G183" s="6" t="e">
        <f>G180+G181</f>
        <v>#REF!</v>
      </c>
      <c r="H183" s="5">
        <f t="shared" si="16"/>
        <v>-86650.95518000003</v>
      </c>
      <c r="I183" s="6">
        <f t="shared" si="17"/>
        <v>47.97481213615301</v>
      </c>
      <c r="J183" s="58"/>
      <c r="L183" s="29"/>
    </row>
    <row r="184" spans="1:12" ht="15.75">
      <c r="A184" s="111"/>
      <c r="B184" s="111"/>
      <c r="C184" s="111"/>
      <c r="D184" s="111"/>
      <c r="E184" s="111"/>
      <c r="F184" s="111"/>
      <c r="G184" s="111"/>
      <c r="H184" s="111"/>
      <c r="I184" s="112"/>
      <c r="J184" s="58"/>
      <c r="L184" s="29"/>
    </row>
    <row r="185" spans="1:12" s="28" customFormat="1" ht="15.75">
      <c r="A185" s="91"/>
      <c r="B185" s="92"/>
      <c r="C185" s="93" t="s">
        <v>475</v>
      </c>
      <c r="D185" s="71">
        <f>D186+D188+D199+D203+D216+D222+D224+D228+D232+D236+D239+D242+D248+D187</f>
        <v>26378.885559999995</v>
      </c>
      <c r="E185" s="71">
        <f>E186+E188+E199+E203+E216+E222+E224+E228+E232+E236+E239+E242+E248+E187</f>
        <v>116</v>
      </c>
      <c r="F185" s="71">
        <f>F186+F188+F199+F203+F216+F222+F224+F228+F232+F236+F239+F242+F248+F187</f>
        <v>5513.1168800000005</v>
      </c>
      <c r="G185" s="13"/>
      <c r="H185" s="5">
        <f aca="true" t="shared" si="18" ref="H185:H216">F185-D185</f>
        <v>-20865.768679999994</v>
      </c>
      <c r="I185" s="6">
        <f aca="true" t="shared" si="19" ref="I185:I216">F185/D185*100</f>
        <v>20.89973387033414</v>
      </c>
      <c r="J185" s="103"/>
      <c r="L185" s="104"/>
    </row>
    <row r="186" spans="1:12" ht="30.75" customHeight="1">
      <c r="A186" s="94"/>
      <c r="B186" s="95" t="s">
        <v>237</v>
      </c>
      <c r="C186" s="96" t="s">
        <v>90</v>
      </c>
      <c r="D186" s="71">
        <v>653.01589</v>
      </c>
      <c r="E186" s="71"/>
      <c r="F186" s="71">
        <v>72.91539</v>
      </c>
      <c r="G186" s="13"/>
      <c r="H186" s="5">
        <f t="shared" si="18"/>
        <v>-580.1005</v>
      </c>
      <c r="I186" s="6">
        <f t="shared" si="19"/>
        <v>11.165944216150697</v>
      </c>
      <c r="J186" s="58"/>
      <c r="L186" s="29"/>
    </row>
    <row r="187" spans="1:12" ht="72" customHeight="1">
      <c r="A187" s="94"/>
      <c r="B187" s="95" t="s">
        <v>230</v>
      </c>
      <c r="C187" s="96" t="s">
        <v>236</v>
      </c>
      <c r="D187" s="76">
        <v>60</v>
      </c>
      <c r="E187" s="76"/>
      <c r="F187" s="76">
        <v>0</v>
      </c>
      <c r="G187" s="101"/>
      <c r="H187" s="5">
        <f t="shared" si="18"/>
        <v>-60</v>
      </c>
      <c r="I187" s="73">
        <f t="shared" si="19"/>
        <v>0</v>
      </c>
      <c r="J187" s="58"/>
      <c r="L187" s="29"/>
    </row>
    <row r="188" spans="1:12" ht="34.5" customHeight="1">
      <c r="A188" s="97"/>
      <c r="B188" s="102" t="s">
        <v>298</v>
      </c>
      <c r="C188" s="98" t="s">
        <v>458</v>
      </c>
      <c r="D188" s="76">
        <f>D189+D191+D194+D192+D197+D190+D193+D195+D196+D198</f>
        <v>1991.03587</v>
      </c>
      <c r="E188" s="76">
        <f>E189+E191+E194+E192+E197+E190+E193+E195+E196+E198</f>
        <v>0</v>
      </c>
      <c r="F188" s="76">
        <f>F189+F191+F194+F192+F197+F190+F193+F195+F196+F198</f>
        <v>531.97588</v>
      </c>
      <c r="G188" s="68"/>
      <c r="H188" s="68">
        <f t="shared" si="18"/>
        <v>-1459.05999</v>
      </c>
      <c r="I188" s="73">
        <f t="shared" si="19"/>
        <v>26.71854827005201</v>
      </c>
      <c r="J188" s="58"/>
      <c r="L188" s="29"/>
    </row>
    <row r="189" spans="1:12" ht="31.5">
      <c r="A189" s="97"/>
      <c r="B189" s="75" t="s">
        <v>356</v>
      </c>
      <c r="C189" s="63" t="s">
        <v>284</v>
      </c>
      <c r="D189" s="76">
        <v>1199.50348</v>
      </c>
      <c r="E189" s="76"/>
      <c r="F189" s="76">
        <v>66.01349</v>
      </c>
      <c r="G189" s="68"/>
      <c r="H189" s="68">
        <f t="shared" si="18"/>
        <v>-1133.48999</v>
      </c>
      <c r="I189" s="73">
        <f t="shared" si="19"/>
        <v>5.503401290674038</v>
      </c>
      <c r="J189" s="58"/>
      <c r="L189" s="29"/>
    </row>
    <row r="190" spans="1:12" ht="80.25" customHeight="1">
      <c r="A190" s="27"/>
      <c r="B190" s="75" t="s">
        <v>356</v>
      </c>
      <c r="C190" s="63" t="s">
        <v>82</v>
      </c>
      <c r="D190" s="76">
        <v>0.31044</v>
      </c>
      <c r="E190" s="76"/>
      <c r="F190" s="76">
        <v>0.31044</v>
      </c>
      <c r="G190" s="68"/>
      <c r="H190" s="68">
        <f t="shared" si="18"/>
        <v>0</v>
      </c>
      <c r="I190" s="73">
        <f t="shared" si="19"/>
        <v>100</v>
      </c>
      <c r="J190" s="58"/>
      <c r="L190" s="29"/>
    </row>
    <row r="191" spans="1:12" ht="50.25" customHeight="1">
      <c r="A191" s="27"/>
      <c r="B191" s="75" t="s">
        <v>356</v>
      </c>
      <c r="C191" s="63" t="s">
        <v>184</v>
      </c>
      <c r="D191" s="76">
        <v>38.391</v>
      </c>
      <c r="E191" s="76"/>
      <c r="F191" s="76">
        <v>0</v>
      </c>
      <c r="G191" s="68"/>
      <c r="H191" s="68">
        <f t="shared" si="18"/>
        <v>-38.391</v>
      </c>
      <c r="I191" s="73">
        <f t="shared" si="19"/>
        <v>0</v>
      </c>
      <c r="J191" s="58"/>
      <c r="L191" s="29"/>
    </row>
    <row r="192" spans="1:12" ht="32.25" customHeight="1">
      <c r="A192" s="27"/>
      <c r="B192" s="75" t="s">
        <v>358</v>
      </c>
      <c r="C192" s="63" t="s">
        <v>285</v>
      </c>
      <c r="D192" s="76">
        <v>637.30567</v>
      </c>
      <c r="E192" s="76"/>
      <c r="F192" s="76">
        <v>355.51567</v>
      </c>
      <c r="G192" s="68"/>
      <c r="H192" s="68">
        <f t="shared" si="18"/>
        <v>-281.78999999999996</v>
      </c>
      <c r="I192" s="73">
        <f t="shared" si="19"/>
        <v>55.78416868627577</v>
      </c>
      <c r="J192" s="58"/>
      <c r="L192" s="29"/>
    </row>
    <row r="193" spans="1:12" ht="80.25" customHeight="1">
      <c r="A193" s="27"/>
      <c r="B193" s="75" t="s">
        <v>358</v>
      </c>
      <c r="C193" s="63" t="s">
        <v>82</v>
      </c>
      <c r="D193" s="76">
        <v>79.77628</v>
      </c>
      <c r="E193" s="76"/>
      <c r="F193" s="76">
        <v>79.77628</v>
      </c>
      <c r="G193" s="68"/>
      <c r="H193" s="68">
        <f t="shared" si="18"/>
        <v>0</v>
      </c>
      <c r="I193" s="73">
        <f t="shared" si="19"/>
        <v>100</v>
      </c>
      <c r="J193" s="58"/>
      <c r="L193" s="29"/>
    </row>
    <row r="194" spans="1:12" ht="0.75" customHeight="1" hidden="1">
      <c r="A194" s="27"/>
      <c r="B194" s="75" t="s">
        <v>358</v>
      </c>
      <c r="C194" s="63" t="s">
        <v>86</v>
      </c>
      <c r="D194" s="76"/>
      <c r="E194" s="76"/>
      <c r="F194" s="76"/>
      <c r="G194" s="68"/>
      <c r="H194" s="68">
        <f t="shared" si="18"/>
        <v>0</v>
      </c>
      <c r="I194" s="73" t="e">
        <f t="shared" si="19"/>
        <v>#DIV/0!</v>
      </c>
      <c r="J194" s="58"/>
      <c r="L194" s="29"/>
    </row>
    <row r="195" spans="1:12" ht="20.25" customHeight="1">
      <c r="A195" s="27"/>
      <c r="B195" s="75" t="s">
        <v>375</v>
      </c>
      <c r="C195" s="63" t="s">
        <v>46</v>
      </c>
      <c r="D195" s="76">
        <v>9.98</v>
      </c>
      <c r="E195" s="76"/>
      <c r="F195" s="76">
        <v>9.98</v>
      </c>
      <c r="G195" s="68"/>
      <c r="H195" s="69">
        <f t="shared" si="18"/>
        <v>0</v>
      </c>
      <c r="I195" s="70">
        <f t="shared" si="19"/>
        <v>100</v>
      </c>
      <c r="J195" s="58"/>
      <c r="L195" s="29"/>
    </row>
    <row r="196" spans="1:12" ht="31.5">
      <c r="A196" s="27"/>
      <c r="B196" s="75" t="s">
        <v>376</v>
      </c>
      <c r="C196" s="63" t="s">
        <v>92</v>
      </c>
      <c r="D196" s="76">
        <v>7.04</v>
      </c>
      <c r="E196" s="76"/>
      <c r="F196" s="76">
        <v>7.04</v>
      </c>
      <c r="G196" s="68"/>
      <c r="H196" s="69">
        <f t="shared" si="18"/>
        <v>0</v>
      </c>
      <c r="I196" s="70">
        <f t="shared" si="19"/>
        <v>100</v>
      </c>
      <c r="J196" s="58"/>
      <c r="L196" s="29"/>
    </row>
    <row r="197" spans="1:12" ht="51" customHeight="1">
      <c r="A197" s="27"/>
      <c r="B197" s="66" t="s">
        <v>377</v>
      </c>
      <c r="C197" s="18" t="s">
        <v>286</v>
      </c>
      <c r="D197" s="67">
        <v>13.34</v>
      </c>
      <c r="E197" s="67"/>
      <c r="F197" s="67">
        <v>13.34</v>
      </c>
      <c r="G197" s="68"/>
      <c r="H197" s="69">
        <f t="shared" si="18"/>
        <v>0</v>
      </c>
      <c r="I197" s="70">
        <f t="shared" si="19"/>
        <v>100</v>
      </c>
      <c r="J197" s="58"/>
      <c r="L197" s="29"/>
    </row>
    <row r="198" spans="1:12" ht="31.5">
      <c r="A198" s="27"/>
      <c r="B198" s="66" t="s">
        <v>434</v>
      </c>
      <c r="C198" s="18" t="s">
        <v>108</v>
      </c>
      <c r="D198" s="67">
        <v>5.389</v>
      </c>
      <c r="E198" s="67"/>
      <c r="F198" s="67">
        <v>0</v>
      </c>
      <c r="G198" s="68"/>
      <c r="H198" s="69">
        <f t="shared" si="18"/>
        <v>-5.389</v>
      </c>
      <c r="I198" s="70">
        <f t="shared" si="19"/>
        <v>0</v>
      </c>
      <c r="J198" s="58"/>
      <c r="L198" s="29"/>
    </row>
    <row r="199" spans="1:12" ht="15.75">
      <c r="A199" s="27"/>
      <c r="B199" s="75" t="s">
        <v>83</v>
      </c>
      <c r="C199" s="74" t="s">
        <v>283</v>
      </c>
      <c r="D199" s="76">
        <f>D200+D202+D201</f>
        <v>199.56033000000002</v>
      </c>
      <c r="E199" s="76">
        <f>E200+E202</f>
        <v>0</v>
      </c>
      <c r="F199" s="76">
        <f>F200+F202+F201</f>
        <v>199.56034</v>
      </c>
      <c r="G199" s="68"/>
      <c r="H199" s="69">
        <f t="shared" si="18"/>
        <v>9.999999974752427E-06</v>
      </c>
      <c r="I199" s="70">
        <f t="shared" si="19"/>
        <v>100.00000501101596</v>
      </c>
      <c r="J199" s="58"/>
      <c r="L199" s="29"/>
    </row>
    <row r="200" spans="1:12" ht="47.25">
      <c r="A200" s="27"/>
      <c r="B200" s="75" t="s">
        <v>365</v>
      </c>
      <c r="C200" s="74" t="s">
        <v>87</v>
      </c>
      <c r="D200" s="76">
        <v>63.32148</v>
      </c>
      <c r="E200" s="76"/>
      <c r="F200" s="76">
        <v>63.32149</v>
      </c>
      <c r="G200" s="68"/>
      <c r="H200" s="69">
        <f t="shared" si="18"/>
        <v>9.999999996068709E-06</v>
      </c>
      <c r="I200" s="70">
        <f t="shared" si="19"/>
        <v>100.00001579242937</v>
      </c>
      <c r="J200" s="58"/>
      <c r="L200" s="29"/>
    </row>
    <row r="201" spans="1:12" ht="63" hidden="1">
      <c r="A201" s="27"/>
      <c r="B201" s="75" t="s">
        <v>19</v>
      </c>
      <c r="C201" s="55" t="s">
        <v>238</v>
      </c>
      <c r="D201" s="76"/>
      <c r="E201" s="76"/>
      <c r="F201" s="76"/>
      <c r="G201" s="68"/>
      <c r="H201" s="68">
        <f t="shared" si="18"/>
        <v>0</v>
      </c>
      <c r="I201" s="73" t="e">
        <f t="shared" si="19"/>
        <v>#DIV/0!</v>
      </c>
      <c r="J201" s="58"/>
      <c r="L201" s="29"/>
    </row>
    <row r="202" spans="1:12" ht="78.75">
      <c r="A202" s="27"/>
      <c r="B202" s="75" t="s">
        <v>312</v>
      </c>
      <c r="C202" s="63" t="s">
        <v>82</v>
      </c>
      <c r="D202" s="76">
        <v>136.23885</v>
      </c>
      <c r="E202" s="76"/>
      <c r="F202" s="76">
        <v>136.23885</v>
      </c>
      <c r="G202" s="68"/>
      <c r="H202" s="68">
        <f t="shared" si="18"/>
        <v>0</v>
      </c>
      <c r="I202" s="73">
        <f t="shared" si="19"/>
        <v>100</v>
      </c>
      <c r="J202" s="58"/>
      <c r="L202" s="29"/>
    </row>
    <row r="203" spans="1:12" ht="15.75">
      <c r="A203" s="27"/>
      <c r="B203" s="64" t="s">
        <v>317</v>
      </c>
      <c r="C203" s="74" t="s">
        <v>287</v>
      </c>
      <c r="D203" s="71">
        <f>D204+D205+D206+D207+D208+D209+D210+D211+D212+D213+D214+D215</f>
        <v>12532.62917</v>
      </c>
      <c r="E203" s="71">
        <f>E204+E205+E206+E207+E208+E209+E210+E211+E212+E213+E214+E215</f>
        <v>0</v>
      </c>
      <c r="F203" s="71">
        <f>F204+F205+F206+F207+F208+F209+F210+F211+F212+F213+F214+F215</f>
        <v>2279.30822</v>
      </c>
      <c r="G203" s="5"/>
      <c r="H203" s="68">
        <f t="shared" si="18"/>
        <v>-10253.320950000001</v>
      </c>
      <c r="I203" s="73">
        <f t="shared" si="19"/>
        <v>18.18699164462711</v>
      </c>
      <c r="J203" s="58"/>
      <c r="L203" s="29"/>
    </row>
    <row r="204" spans="1:12" ht="63">
      <c r="A204" s="27"/>
      <c r="B204" s="48" t="s">
        <v>319</v>
      </c>
      <c r="C204" s="7" t="s">
        <v>50</v>
      </c>
      <c r="D204" s="61">
        <v>1030.175</v>
      </c>
      <c r="E204" s="13"/>
      <c r="F204" s="4">
        <v>452.63905</v>
      </c>
      <c r="G204" s="5"/>
      <c r="H204" s="69">
        <f t="shared" si="18"/>
        <v>-577.53595</v>
      </c>
      <c r="I204" s="70">
        <f t="shared" si="19"/>
        <v>43.93807362826704</v>
      </c>
      <c r="J204" s="58"/>
      <c r="L204" s="29"/>
    </row>
    <row r="205" spans="1:12" ht="69" customHeight="1">
      <c r="A205" s="27"/>
      <c r="B205" s="64" t="s">
        <v>319</v>
      </c>
      <c r="C205" s="7" t="s">
        <v>49</v>
      </c>
      <c r="D205" s="71">
        <v>17.57387</v>
      </c>
      <c r="E205" s="13"/>
      <c r="F205" s="5">
        <v>12.57387</v>
      </c>
      <c r="G205" s="5"/>
      <c r="H205" s="68">
        <f t="shared" si="18"/>
        <v>-5</v>
      </c>
      <c r="I205" s="73">
        <f t="shared" si="19"/>
        <v>71.54866856304274</v>
      </c>
      <c r="J205" s="58"/>
      <c r="L205" s="29"/>
    </row>
    <row r="206" spans="1:12" ht="78.75">
      <c r="A206" s="27"/>
      <c r="B206" s="64" t="s">
        <v>319</v>
      </c>
      <c r="C206" s="63" t="s">
        <v>82</v>
      </c>
      <c r="D206" s="71">
        <v>415.61172</v>
      </c>
      <c r="E206" s="13"/>
      <c r="F206" s="5">
        <v>415.61172</v>
      </c>
      <c r="G206" s="5"/>
      <c r="H206" s="68">
        <f t="shared" si="18"/>
        <v>0</v>
      </c>
      <c r="I206" s="73">
        <f t="shared" si="19"/>
        <v>100</v>
      </c>
      <c r="J206" s="58"/>
      <c r="L206" s="29"/>
    </row>
    <row r="207" spans="1:12" ht="47.25">
      <c r="A207" s="27"/>
      <c r="B207" s="64" t="s">
        <v>40</v>
      </c>
      <c r="C207" s="55" t="s">
        <v>75</v>
      </c>
      <c r="D207" s="71">
        <v>463</v>
      </c>
      <c r="E207" s="13"/>
      <c r="F207" s="5">
        <v>50</v>
      </c>
      <c r="G207" s="5"/>
      <c r="H207" s="68">
        <f t="shared" si="18"/>
        <v>-413</v>
      </c>
      <c r="I207" s="73">
        <f t="shared" si="19"/>
        <v>10.799136069114471</v>
      </c>
      <c r="J207" s="58"/>
      <c r="L207" s="29"/>
    </row>
    <row r="208" spans="1:12" ht="47.25">
      <c r="A208" s="27"/>
      <c r="B208" s="64" t="s">
        <v>40</v>
      </c>
      <c r="C208" s="55" t="s">
        <v>91</v>
      </c>
      <c r="D208" s="71">
        <v>427.99884</v>
      </c>
      <c r="E208" s="13"/>
      <c r="F208" s="5">
        <v>285.31918</v>
      </c>
      <c r="G208" s="5"/>
      <c r="H208" s="68">
        <f t="shared" si="18"/>
        <v>-142.67965999999996</v>
      </c>
      <c r="I208" s="73">
        <f t="shared" si="19"/>
        <v>66.66354048996956</v>
      </c>
      <c r="J208" s="58"/>
      <c r="L208" s="29"/>
    </row>
    <row r="209" spans="1:12" ht="78.75">
      <c r="A209" s="27"/>
      <c r="B209" s="64" t="s">
        <v>40</v>
      </c>
      <c r="C209" s="63" t="s">
        <v>82</v>
      </c>
      <c r="D209" s="71">
        <v>424.19606</v>
      </c>
      <c r="E209" s="13"/>
      <c r="F209" s="5">
        <v>424.19606</v>
      </c>
      <c r="G209" s="5"/>
      <c r="H209" s="68">
        <f t="shared" si="18"/>
        <v>0</v>
      </c>
      <c r="I209" s="73">
        <f t="shared" si="19"/>
        <v>100</v>
      </c>
      <c r="J209" s="58"/>
      <c r="L209" s="29"/>
    </row>
    <row r="210" spans="1:12" ht="78.75">
      <c r="A210" s="27"/>
      <c r="B210" s="48" t="s">
        <v>15</v>
      </c>
      <c r="C210" s="55" t="s">
        <v>51</v>
      </c>
      <c r="D210" s="12">
        <v>800</v>
      </c>
      <c r="E210" s="13"/>
      <c r="F210" s="4">
        <v>0</v>
      </c>
      <c r="G210" s="5"/>
      <c r="H210" s="69">
        <f t="shared" si="18"/>
        <v>-800</v>
      </c>
      <c r="I210" s="70">
        <f t="shared" si="19"/>
        <v>0</v>
      </c>
      <c r="J210" s="58"/>
      <c r="L210" s="29"/>
    </row>
    <row r="211" spans="1:12" ht="24.75" customHeight="1" hidden="1">
      <c r="A211" s="27"/>
      <c r="B211" s="48" t="s">
        <v>15</v>
      </c>
      <c r="C211" s="55" t="s">
        <v>88</v>
      </c>
      <c r="D211" s="12">
        <v>0</v>
      </c>
      <c r="E211" s="13"/>
      <c r="F211" s="4"/>
      <c r="G211" s="5"/>
      <c r="H211" s="69">
        <f t="shared" si="18"/>
        <v>0</v>
      </c>
      <c r="I211" s="70" t="e">
        <f t="shared" si="19"/>
        <v>#DIV/0!</v>
      </c>
      <c r="J211" s="58"/>
      <c r="L211" s="29"/>
    </row>
    <row r="212" spans="1:12" ht="47.25">
      <c r="A212" s="27"/>
      <c r="B212" s="48" t="s">
        <v>321</v>
      </c>
      <c r="C212" s="7" t="s">
        <v>52</v>
      </c>
      <c r="D212" s="12">
        <v>274.505</v>
      </c>
      <c r="E212" s="13"/>
      <c r="F212" s="4">
        <v>8.29869</v>
      </c>
      <c r="G212" s="5"/>
      <c r="H212" s="69">
        <f t="shared" si="18"/>
        <v>-266.20631</v>
      </c>
      <c r="I212" s="70">
        <f t="shared" si="19"/>
        <v>3.0231471193603032</v>
      </c>
      <c r="J212" s="58"/>
      <c r="L212" s="29"/>
    </row>
    <row r="213" spans="1:12" ht="78.75">
      <c r="A213" s="27"/>
      <c r="B213" s="64" t="s">
        <v>321</v>
      </c>
      <c r="C213" s="63" t="s">
        <v>82</v>
      </c>
      <c r="D213" s="71">
        <v>129.00614</v>
      </c>
      <c r="E213" s="13"/>
      <c r="F213" s="5">
        <v>129.00614</v>
      </c>
      <c r="G213" s="5"/>
      <c r="H213" s="68">
        <f t="shared" si="18"/>
        <v>0</v>
      </c>
      <c r="I213" s="73">
        <f t="shared" si="19"/>
        <v>100</v>
      </c>
      <c r="J213" s="58"/>
      <c r="L213" s="29"/>
    </row>
    <row r="214" spans="1:12" ht="78.75">
      <c r="A214" s="27"/>
      <c r="B214" s="64" t="s">
        <v>23</v>
      </c>
      <c r="C214" s="55" t="s">
        <v>84</v>
      </c>
      <c r="D214" s="71">
        <v>50.56254</v>
      </c>
      <c r="E214" s="13"/>
      <c r="F214" s="5">
        <v>50.56254</v>
      </c>
      <c r="G214" s="5"/>
      <c r="H214" s="68">
        <f t="shared" si="18"/>
        <v>0</v>
      </c>
      <c r="I214" s="73">
        <f t="shared" si="19"/>
        <v>100</v>
      </c>
      <c r="J214" s="58"/>
      <c r="L214" s="29"/>
    </row>
    <row r="215" spans="1:12" ht="63">
      <c r="A215" s="27"/>
      <c r="B215" s="64" t="s">
        <v>93</v>
      </c>
      <c r="C215" s="55" t="s">
        <v>94</v>
      </c>
      <c r="D215" s="71">
        <v>8500</v>
      </c>
      <c r="E215" s="13"/>
      <c r="F215" s="5">
        <v>451.10097</v>
      </c>
      <c r="G215" s="5"/>
      <c r="H215" s="68">
        <f t="shared" si="18"/>
        <v>-8048.89903</v>
      </c>
      <c r="I215" s="73">
        <f t="shared" si="19"/>
        <v>5.307070235294118</v>
      </c>
      <c r="J215" s="58"/>
      <c r="L215" s="29"/>
    </row>
    <row r="216" spans="1:12" ht="31.5" customHeight="1">
      <c r="A216" s="22" t="s">
        <v>328</v>
      </c>
      <c r="B216" s="72" t="s">
        <v>335</v>
      </c>
      <c r="C216" s="63" t="s">
        <v>242</v>
      </c>
      <c r="D216" s="71">
        <f>D217+D218+D221+D220+D219</f>
        <v>290.269</v>
      </c>
      <c r="E216" s="71">
        <f>E217+E218+E221+E220+E219</f>
        <v>0</v>
      </c>
      <c r="F216" s="71">
        <f>F217+F218+F221+F220+F219</f>
        <v>105.569</v>
      </c>
      <c r="G216" s="5" t="e">
        <f>F216-#REF!</f>
        <v>#REF!</v>
      </c>
      <c r="H216" s="68">
        <f t="shared" si="18"/>
        <v>-184.7</v>
      </c>
      <c r="I216" s="73">
        <f t="shared" si="19"/>
        <v>36.36936772442114</v>
      </c>
      <c r="J216" s="58"/>
      <c r="L216" s="29"/>
    </row>
    <row r="217" spans="1:12" ht="20.25" customHeight="1">
      <c r="A217" s="17" t="s">
        <v>343</v>
      </c>
      <c r="B217" s="48" t="s">
        <v>444</v>
      </c>
      <c r="C217" s="24" t="s">
        <v>243</v>
      </c>
      <c r="D217" s="12">
        <v>24.7</v>
      </c>
      <c r="E217" s="13"/>
      <c r="F217" s="4">
        <v>4.7</v>
      </c>
      <c r="G217" s="5"/>
      <c r="H217" s="69">
        <f aca="true" t="shared" si="20" ref="H217:H248">F217-D217</f>
        <v>-20</v>
      </c>
      <c r="I217" s="70">
        <f aca="true" t="shared" si="21" ref="I217:I248">F217/D217*100</f>
        <v>19.028340080971663</v>
      </c>
      <c r="J217" s="58"/>
      <c r="L217" s="29"/>
    </row>
    <row r="218" spans="1:12" ht="17.25" customHeight="1">
      <c r="A218" s="17" t="s">
        <v>359</v>
      </c>
      <c r="B218" s="48" t="s">
        <v>445</v>
      </c>
      <c r="C218" s="24" t="s">
        <v>244</v>
      </c>
      <c r="D218" s="12">
        <v>11.369</v>
      </c>
      <c r="E218" s="13"/>
      <c r="F218" s="4">
        <v>6.369</v>
      </c>
      <c r="G218" s="5"/>
      <c r="H218" s="69">
        <f t="shared" si="20"/>
        <v>-5</v>
      </c>
      <c r="I218" s="70">
        <f t="shared" si="21"/>
        <v>56.0207582021286</v>
      </c>
      <c r="J218" s="58"/>
      <c r="L218" s="29"/>
    </row>
    <row r="219" spans="1:12" ht="36" customHeight="1">
      <c r="A219" s="17"/>
      <c r="B219" s="48" t="s">
        <v>446</v>
      </c>
      <c r="C219" s="24" t="s">
        <v>205</v>
      </c>
      <c r="D219" s="12">
        <v>239.2</v>
      </c>
      <c r="E219" s="13"/>
      <c r="F219" s="4">
        <v>85.854</v>
      </c>
      <c r="G219" s="5"/>
      <c r="H219" s="69">
        <f t="shared" si="20"/>
        <v>-153.346</v>
      </c>
      <c r="I219" s="70">
        <f t="shared" si="21"/>
        <v>35.892140468227424</v>
      </c>
      <c r="J219" s="58"/>
      <c r="L219" s="29"/>
    </row>
    <row r="220" spans="1:12" ht="56.25" customHeight="1">
      <c r="A220" s="17"/>
      <c r="B220" s="48" t="s">
        <v>424</v>
      </c>
      <c r="C220" s="24" t="s">
        <v>245</v>
      </c>
      <c r="D220" s="12">
        <v>5</v>
      </c>
      <c r="E220" s="13"/>
      <c r="F220" s="4">
        <v>5</v>
      </c>
      <c r="G220" s="5"/>
      <c r="H220" s="69">
        <f t="shared" si="20"/>
        <v>0</v>
      </c>
      <c r="I220" s="70">
        <f t="shared" si="21"/>
        <v>100</v>
      </c>
      <c r="J220" s="58"/>
      <c r="L220" s="29"/>
    </row>
    <row r="221" spans="1:12" ht="31.5" customHeight="1">
      <c r="A221" s="17" t="s">
        <v>359</v>
      </c>
      <c r="B221" s="48" t="s">
        <v>424</v>
      </c>
      <c r="C221" s="24" t="s">
        <v>246</v>
      </c>
      <c r="D221" s="12">
        <v>10</v>
      </c>
      <c r="E221" s="13"/>
      <c r="F221" s="4">
        <v>3.646</v>
      </c>
      <c r="G221" s="5"/>
      <c r="H221" s="69">
        <f t="shared" si="20"/>
        <v>-6.354</v>
      </c>
      <c r="I221" s="70">
        <f t="shared" si="21"/>
        <v>36.46</v>
      </c>
      <c r="J221" s="58"/>
      <c r="L221" s="29"/>
    </row>
    <row r="222" spans="1:12" ht="15.75">
      <c r="A222" s="17"/>
      <c r="B222" s="64" t="s">
        <v>324</v>
      </c>
      <c r="C222" s="55" t="s">
        <v>247</v>
      </c>
      <c r="D222" s="71">
        <f>D223</f>
        <v>70</v>
      </c>
      <c r="E222" s="71">
        <f>E223</f>
        <v>0</v>
      </c>
      <c r="F222" s="71">
        <f>F223</f>
        <v>0</v>
      </c>
      <c r="G222" s="5"/>
      <c r="H222" s="68">
        <f t="shared" si="20"/>
        <v>-70</v>
      </c>
      <c r="I222" s="73">
        <f t="shared" si="21"/>
        <v>0</v>
      </c>
      <c r="J222" s="58"/>
      <c r="L222" s="29"/>
    </row>
    <row r="223" spans="1:12" ht="55.5" customHeight="1">
      <c r="A223" s="17"/>
      <c r="B223" s="64" t="s">
        <v>325</v>
      </c>
      <c r="C223" s="87" t="s">
        <v>248</v>
      </c>
      <c r="D223" s="71">
        <v>70</v>
      </c>
      <c r="E223" s="13"/>
      <c r="F223" s="5">
        <v>0</v>
      </c>
      <c r="G223" s="5"/>
      <c r="H223" s="68">
        <f t="shared" si="20"/>
        <v>-70</v>
      </c>
      <c r="I223" s="73">
        <f t="shared" si="21"/>
        <v>0</v>
      </c>
      <c r="J223" s="58"/>
      <c r="L223" s="29"/>
    </row>
    <row r="224" spans="1:12" ht="15.75">
      <c r="A224" s="17"/>
      <c r="B224" s="64" t="s">
        <v>180</v>
      </c>
      <c r="C224" s="55" t="s">
        <v>249</v>
      </c>
      <c r="D224" s="6">
        <f>D225+D226+D227</f>
        <v>2307.21986</v>
      </c>
      <c r="E224" s="6">
        <f>E225+E226+E227</f>
        <v>0</v>
      </c>
      <c r="F224" s="6">
        <f>F225+F226+F227</f>
        <v>907.83583</v>
      </c>
      <c r="G224" s="5">
        <f>F224-L217</f>
        <v>907.83583</v>
      </c>
      <c r="H224" s="68">
        <f t="shared" si="20"/>
        <v>-1399.3840300000002</v>
      </c>
      <c r="I224" s="73">
        <f t="shared" si="21"/>
        <v>39.34760816422584</v>
      </c>
      <c r="J224" s="58"/>
      <c r="L224" s="29"/>
    </row>
    <row r="225" spans="1:12" ht="57.75" customHeight="1">
      <c r="A225" s="17"/>
      <c r="B225" s="64" t="s">
        <v>421</v>
      </c>
      <c r="C225" s="55" t="s">
        <v>53</v>
      </c>
      <c r="D225" s="6">
        <f>521.714+1344.37986</f>
        <v>1866.09386</v>
      </c>
      <c r="E225" s="6"/>
      <c r="F225" s="5">
        <f>68.214+470.38315</f>
        <v>538.59715</v>
      </c>
      <c r="G225" s="5"/>
      <c r="H225" s="68">
        <f t="shared" si="20"/>
        <v>-1327.49671</v>
      </c>
      <c r="I225" s="73">
        <f t="shared" si="21"/>
        <v>28.86227544846003</v>
      </c>
      <c r="J225" s="58"/>
      <c r="L225" s="29"/>
    </row>
    <row r="226" spans="1:12" ht="53.25" customHeight="1">
      <c r="A226" s="17"/>
      <c r="B226" s="64" t="s">
        <v>421</v>
      </c>
      <c r="C226" s="55" t="s">
        <v>54</v>
      </c>
      <c r="D226" s="6">
        <f>330+108.5</f>
        <v>438.5</v>
      </c>
      <c r="E226" s="6"/>
      <c r="F226" s="5">
        <f>319.669+49.56968</f>
        <v>369.23868</v>
      </c>
      <c r="G226" s="5"/>
      <c r="H226" s="68">
        <f t="shared" si="20"/>
        <v>-69.26132000000001</v>
      </c>
      <c r="I226" s="73">
        <f t="shared" si="21"/>
        <v>84.20494412770809</v>
      </c>
      <c r="J226" s="58"/>
      <c r="L226" s="29"/>
    </row>
    <row r="227" spans="1:12" ht="60" customHeight="1">
      <c r="A227" s="17"/>
      <c r="B227" s="64" t="s">
        <v>206</v>
      </c>
      <c r="C227" s="55" t="s">
        <v>53</v>
      </c>
      <c r="D227" s="6">
        <v>2.626</v>
      </c>
      <c r="E227" s="6"/>
      <c r="F227" s="5">
        <v>0</v>
      </c>
      <c r="G227" s="5"/>
      <c r="H227" s="68">
        <f t="shared" si="20"/>
        <v>-2.626</v>
      </c>
      <c r="I227" s="73">
        <f t="shared" si="21"/>
        <v>0</v>
      </c>
      <c r="J227" s="58"/>
      <c r="L227" s="29"/>
    </row>
    <row r="228" spans="1:12" ht="47.25">
      <c r="A228" s="17"/>
      <c r="B228" s="64" t="s">
        <v>334</v>
      </c>
      <c r="C228" s="55" t="s">
        <v>55</v>
      </c>
      <c r="D228" s="6">
        <f>D229+D230+D231</f>
        <v>2374.0887000000002</v>
      </c>
      <c r="E228" s="6">
        <f>E229+E230+E231</f>
        <v>106</v>
      </c>
      <c r="F228" s="6">
        <f>F229+F230+F231</f>
        <v>529.24037</v>
      </c>
      <c r="G228" s="5"/>
      <c r="H228" s="68">
        <f t="shared" si="20"/>
        <v>-1844.8483300000003</v>
      </c>
      <c r="I228" s="73">
        <f t="shared" si="21"/>
        <v>22.29235874801139</v>
      </c>
      <c r="J228" s="58"/>
      <c r="L228" s="29"/>
    </row>
    <row r="229" spans="1:12" ht="54.75" customHeight="1">
      <c r="A229" s="17"/>
      <c r="B229" s="64" t="s">
        <v>334</v>
      </c>
      <c r="C229" s="55" t="s">
        <v>405</v>
      </c>
      <c r="D229" s="6">
        <v>1586.631</v>
      </c>
      <c r="E229" s="6"/>
      <c r="F229" s="5">
        <v>361.29282</v>
      </c>
      <c r="G229" s="5"/>
      <c r="H229" s="68">
        <f t="shared" si="20"/>
        <v>-1225.3381800000002</v>
      </c>
      <c r="I229" s="73">
        <f t="shared" si="21"/>
        <v>22.771067752993606</v>
      </c>
      <c r="J229" s="58"/>
      <c r="L229" s="29"/>
    </row>
    <row r="230" spans="1:12" ht="47.25">
      <c r="A230" s="17"/>
      <c r="B230" s="64" t="s">
        <v>334</v>
      </c>
      <c r="C230" s="55" t="s">
        <v>406</v>
      </c>
      <c r="D230" s="6">
        <v>693.454</v>
      </c>
      <c r="E230" s="6"/>
      <c r="F230" s="5">
        <v>113.87802</v>
      </c>
      <c r="G230" s="5"/>
      <c r="H230" s="68">
        <f t="shared" si="20"/>
        <v>-579.57598</v>
      </c>
      <c r="I230" s="73">
        <f t="shared" si="21"/>
        <v>16.42185638845547</v>
      </c>
      <c r="J230" s="58"/>
      <c r="L230" s="29"/>
    </row>
    <row r="231" spans="1:12" ht="71.25" customHeight="1">
      <c r="A231" s="17"/>
      <c r="B231" s="64" t="s">
        <v>334</v>
      </c>
      <c r="C231" s="55" t="s">
        <v>36</v>
      </c>
      <c r="D231" s="6">
        <v>94.0037</v>
      </c>
      <c r="E231" s="6">
        <v>106</v>
      </c>
      <c r="F231" s="5">
        <v>54.06953</v>
      </c>
      <c r="G231" s="5" t="e">
        <f>F231-#REF!</f>
        <v>#REF!</v>
      </c>
      <c r="H231" s="68">
        <f t="shared" si="20"/>
        <v>-39.934169999999995</v>
      </c>
      <c r="I231" s="73">
        <f t="shared" si="21"/>
        <v>57.51851256918611</v>
      </c>
      <c r="J231" s="58"/>
      <c r="L231" s="29"/>
    </row>
    <row r="232" spans="1:12" ht="31.5">
      <c r="A232" s="17"/>
      <c r="B232" s="64" t="s">
        <v>43</v>
      </c>
      <c r="C232" s="63" t="s">
        <v>197</v>
      </c>
      <c r="D232" s="6">
        <f>D233+D234+D235</f>
        <v>568.13947</v>
      </c>
      <c r="E232" s="6">
        <f>E233+E234+E235</f>
        <v>0</v>
      </c>
      <c r="F232" s="6">
        <f>F233+F234+F235</f>
        <v>447.14147</v>
      </c>
      <c r="G232" s="5"/>
      <c r="H232" s="68">
        <f t="shared" si="20"/>
        <v>-120.99799999999993</v>
      </c>
      <c r="I232" s="73">
        <f t="shared" si="21"/>
        <v>78.70276465741767</v>
      </c>
      <c r="J232" s="58"/>
      <c r="L232" s="29"/>
    </row>
    <row r="233" spans="1:12" ht="88.5" customHeight="1">
      <c r="A233" s="17"/>
      <c r="B233" s="48" t="s">
        <v>435</v>
      </c>
      <c r="C233" s="7" t="s">
        <v>67</v>
      </c>
      <c r="D233" s="1">
        <v>247.47</v>
      </c>
      <c r="E233" s="6"/>
      <c r="F233" s="4">
        <v>129.47</v>
      </c>
      <c r="G233" s="5"/>
      <c r="H233" s="69">
        <f t="shared" si="20"/>
        <v>-118</v>
      </c>
      <c r="I233" s="70">
        <f t="shared" si="21"/>
        <v>52.31745262051965</v>
      </c>
      <c r="J233" s="58"/>
      <c r="L233" s="29"/>
    </row>
    <row r="234" spans="1:12" ht="47.25" hidden="1">
      <c r="A234" s="17"/>
      <c r="B234" s="48" t="s">
        <v>435</v>
      </c>
      <c r="C234" s="63" t="s">
        <v>69</v>
      </c>
      <c r="D234" s="1">
        <v>0</v>
      </c>
      <c r="E234" s="6"/>
      <c r="F234" s="4"/>
      <c r="G234" s="5"/>
      <c r="H234" s="69">
        <f t="shared" si="20"/>
        <v>0</v>
      </c>
      <c r="I234" s="70" t="e">
        <f t="shared" si="21"/>
        <v>#DIV/0!</v>
      </c>
      <c r="J234" s="58"/>
      <c r="L234" s="29"/>
    </row>
    <row r="235" spans="1:12" ht="47.25">
      <c r="A235" s="17"/>
      <c r="B235" s="48" t="s">
        <v>435</v>
      </c>
      <c r="C235" s="65" t="s">
        <v>73</v>
      </c>
      <c r="D235" s="1">
        <v>320.66947</v>
      </c>
      <c r="E235" s="6"/>
      <c r="F235" s="4">
        <v>317.67147</v>
      </c>
      <c r="G235" s="5"/>
      <c r="H235" s="69">
        <f t="shared" si="20"/>
        <v>-2.9979999999999905</v>
      </c>
      <c r="I235" s="70">
        <f t="shared" si="21"/>
        <v>99.06508093832569</v>
      </c>
      <c r="J235" s="58"/>
      <c r="L235" s="29"/>
    </row>
    <row r="236" spans="1:12" ht="31.5">
      <c r="A236" s="17"/>
      <c r="B236" s="72" t="s">
        <v>465</v>
      </c>
      <c r="C236" s="55" t="s">
        <v>250</v>
      </c>
      <c r="D236" s="6">
        <f>D237+D238</f>
        <v>39</v>
      </c>
      <c r="E236" s="6">
        <f>E237+E238</f>
        <v>0</v>
      </c>
      <c r="F236" s="6">
        <f>F237+F238</f>
        <v>0</v>
      </c>
      <c r="G236" s="5"/>
      <c r="H236" s="68">
        <f t="shared" si="20"/>
        <v>-39</v>
      </c>
      <c r="I236" s="73">
        <f t="shared" si="21"/>
        <v>0</v>
      </c>
      <c r="J236" s="58"/>
      <c r="L236" s="29"/>
    </row>
    <row r="237" spans="1:12" ht="69" customHeight="1">
      <c r="A237" s="17"/>
      <c r="B237" s="72" t="s">
        <v>347</v>
      </c>
      <c r="C237" s="55" t="s">
        <v>252</v>
      </c>
      <c r="D237" s="6">
        <v>35.5</v>
      </c>
      <c r="E237" s="6"/>
      <c r="F237" s="6">
        <v>0</v>
      </c>
      <c r="G237" s="5"/>
      <c r="H237" s="68">
        <f t="shared" si="20"/>
        <v>-35.5</v>
      </c>
      <c r="I237" s="73">
        <f t="shared" si="21"/>
        <v>0</v>
      </c>
      <c r="J237" s="58"/>
      <c r="L237" s="29"/>
    </row>
    <row r="238" spans="1:12" ht="31.5">
      <c r="A238" s="17"/>
      <c r="B238" s="72" t="s">
        <v>339</v>
      </c>
      <c r="C238" s="55" t="s">
        <v>189</v>
      </c>
      <c r="D238" s="6">
        <v>3.5</v>
      </c>
      <c r="E238" s="6"/>
      <c r="F238" s="6">
        <v>0</v>
      </c>
      <c r="G238" s="5"/>
      <c r="H238" s="68">
        <f t="shared" si="20"/>
        <v>-3.5</v>
      </c>
      <c r="I238" s="73">
        <f t="shared" si="21"/>
        <v>0</v>
      </c>
      <c r="J238" s="58"/>
      <c r="L238" s="29"/>
    </row>
    <row r="239" spans="1:12" ht="31.5">
      <c r="A239" s="17"/>
      <c r="B239" s="72" t="s">
        <v>71</v>
      </c>
      <c r="C239" s="55" t="s">
        <v>253</v>
      </c>
      <c r="D239" s="6">
        <f>D240+D241</f>
        <v>220.03186</v>
      </c>
      <c r="E239" s="6">
        <f>E240+E241</f>
        <v>10</v>
      </c>
      <c r="F239" s="6">
        <f>F240+F241</f>
        <v>57.72997</v>
      </c>
      <c r="G239" s="5"/>
      <c r="H239" s="68">
        <f t="shared" si="20"/>
        <v>-162.30189</v>
      </c>
      <c r="I239" s="73">
        <f t="shared" si="21"/>
        <v>26.237095846028847</v>
      </c>
      <c r="J239" s="58"/>
      <c r="L239" s="29"/>
    </row>
    <row r="240" spans="1:12" ht="69.75" customHeight="1">
      <c r="A240" s="17"/>
      <c r="B240" s="49" t="s">
        <v>438</v>
      </c>
      <c r="C240" s="7" t="s">
        <v>37</v>
      </c>
      <c r="D240" s="1">
        <v>220.03186</v>
      </c>
      <c r="E240" s="6">
        <v>10</v>
      </c>
      <c r="F240" s="1">
        <v>57.72997</v>
      </c>
      <c r="G240" s="5" t="e">
        <f>F240-#REF!</f>
        <v>#REF!</v>
      </c>
      <c r="H240" s="69">
        <f t="shared" si="20"/>
        <v>-162.30189</v>
      </c>
      <c r="I240" s="70">
        <f t="shared" si="21"/>
        <v>26.237095846028847</v>
      </c>
      <c r="J240" s="58"/>
      <c r="L240" s="29"/>
    </row>
    <row r="241" spans="1:12" ht="63" hidden="1">
      <c r="A241" s="17"/>
      <c r="B241" s="49" t="s">
        <v>70</v>
      </c>
      <c r="C241" s="7" t="s">
        <v>37</v>
      </c>
      <c r="D241" s="1">
        <v>0</v>
      </c>
      <c r="E241" s="6"/>
      <c r="F241" s="1"/>
      <c r="G241" s="5"/>
      <c r="H241" s="69">
        <f t="shared" si="20"/>
        <v>0</v>
      </c>
      <c r="I241" s="70" t="e">
        <f t="shared" si="21"/>
        <v>#DIV/0!</v>
      </c>
      <c r="J241" s="58"/>
      <c r="L241" s="29"/>
    </row>
    <row r="242" spans="1:12" ht="15.75">
      <c r="A242" s="17"/>
      <c r="B242" s="72" t="s">
        <v>479</v>
      </c>
      <c r="C242" s="55" t="s">
        <v>254</v>
      </c>
      <c r="D242" s="6">
        <f>D243+D247+D244+D246+D245</f>
        <v>225.90541</v>
      </c>
      <c r="E242" s="6">
        <f>E243+E247+E244+E246+E245</f>
        <v>0</v>
      </c>
      <c r="F242" s="6">
        <f>F243+F247+F244+F246+F245</f>
        <v>178.15041</v>
      </c>
      <c r="G242" s="5"/>
      <c r="H242" s="68">
        <f t="shared" si="20"/>
        <v>-47.754999999999995</v>
      </c>
      <c r="I242" s="73">
        <f t="shared" si="21"/>
        <v>78.86062135475197</v>
      </c>
      <c r="J242" s="58"/>
      <c r="L242" s="29"/>
    </row>
    <row r="243" spans="1:12" ht="47.25">
      <c r="A243" s="17"/>
      <c r="B243" s="49" t="s">
        <v>479</v>
      </c>
      <c r="C243" s="7" t="s">
        <v>255</v>
      </c>
      <c r="D243" s="1">
        <v>130.05701</v>
      </c>
      <c r="E243" s="6"/>
      <c r="F243" s="1">
        <v>130.05701</v>
      </c>
      <c r="G243" s="5"/>
      <c r="H243" s="69">
        <f t="shared" si="20"/>
        <v>0</v>
      </c>
      <c r="I243" s="70">
        <f t="shared" si="21"/>
        <v>100</v>
      </c>
      <c r="J243" s="58"/>
      <c r="L243" s="29"/>
    </row>
    <row r="244" spans="1:12" ht="31.5">
      <c r="A244" s="17"/>
      <c r="B244" s="49" t="s">
        <v>479</v>
      </c>
      <c r="C244" s="7" t="s">
        <v>256</v>
      </c>
      <c r="D244" s="1">
        <v>11.9484</v>
      </c>
      <c r="E244" s="6"/>
      <c r="F244" s="1">
        <v>11.9484</v>
      </c>
      <c r="G244" s="5"/>
      <c r="H244" s="69">
        <f t="shared" si="20"/>
        <v>0</v>
      </c>
      <c r="I244" s="70">
        <f t="shared" si="21"/>
        <v>100</v>
      </c>
      <c r="J244" s="58"/>
      <c r="L244" s="29"/>
    </row>
    <row r="245" spans="1:12" ht="31.5">
      <c r="A245" s="17"/>
      <c r="B245" s="49" t="s">
        <v>479</v>
      </c>
      <c r="C245" s="7" t="s">
        <v>190</v>
      </c>
      <c r="D245" s="1">
        <v>32.9</v>
      </c>
      <c r="E245" s="6"/>
      <c r="F245" s="1">
        <v>0</v>
      </c>
      <c r="G245" s="5"/>
      <c r="H245" s="69">
        <f t="shared" si="20"/>
        <v>-32.9</v>
      </c>
      <c r="I245" s="70">
        <f t="shared" si="21"/>
        <v>0</v>
      </c>
      <c r="J245" s="58"/>
      <c r="L245" s="29"/>
    </row>
    <row r="246" spans="1:12" ht="31.5">
      <c r="A246" s="17"/>
      <c r="B246" s="49" t="s">
        <v>479</v>
      </c>
      <c r="C246" s="7" t="s">
        <v>257</v>
      </c>
      <c r="D246" s="1">
        <v>51</v>
      </c>
      <c r="E246" s="6"/>
      <c r="F246" s="1">
        <v>36.145</v>
      </c>
      <c r="G246" s="5"/>
      <c r="H246" s="69">
        <f t="shared" si="20"/>
        <v>-14.854999999999997</v>
      </c>
      <c r="I246" s="70">
        <f t="shared" si="21"/>
        <v>70.87254901960785</v>
      </c>
      <c r="J246" s="58"/>
      <c r="L246" s="29"/>
    </row>
    <row r="247" spans="1:12" ht="31.5" hidden="1">
      <c r="A247" s="17"/>
      <c r="B247" s="49" t="s">
        <v>479</v>
      </c>
      <c r="C247" s="7" t="s">
        <v>258</v>
      </c>
      <c r="D247" s="1"/>
      <c r="E247" s="6"/>
      <c r="F247" s="1"/>
      <c r="G247" s="5"/>
      <c r="H247" s="69">
        <f t="shared" si="20"/>
        <v>0</v>
      </c>
      <c r="I247" s="70" t="e">
        <f t="shared" si="21"/>
        <v>#DIV/0!</v>
      </c>
      <c r="J247" s="58"/>
      <c r="L247" s="29"/>
    </row>
    <row r="248" spans="1:12" ht="15.75">
      <c r="A248" s="17"/>
      <c r="B248" s="72" t="s">
        <v>466</v>
      </c>
      <c r="C248" s="55" t="s">
        <v>259</v>
      </c>
      <c r="D248" s="6">
        <f>D249+D256+D250+D253+D254+D255+D251+D252</f>
        <v>4847.99</v>
      </c>
      <c r="E248" s="6">
        <f>E249+E256+E250+E253+E254+E255+E251+E252</f>
        <v>0</v>
      </c>
      <c r="F248" s="6">
        <f>F249+F256+F250+F253+F254+F255+F251+F252</f>
        <v>203.69</v>
      </c>
      <c r="G248" s="5"/>
      <c r="H248" s="68">
        <f t="shared" si="20"/>
        <v>-4644.3</v>
      </c>
      <c r="I248" s="73">
        <f t="shared" si="21"/>
        <v>4.201535069172998</v>
      </c>
      <c r="J248" s="58"/>
      <c r="L248" s="29"/>
    </row>
    <row r="249" spans="1:12" ht="63">
      <c r="A249" s="17" t="s">
        <v>318</v>
      </c>
      <c r="B249" s="48" t="s">
        <v>467</v>
      </c>
      <c r="C249" s="3" t="s">
        <v>191</v>
      </c>
      <c r="D249" s="12">
        <v>250</v>
      </c>
      <c r="E249" s="13"/>
      <c r="F249" s="4">
        <v>200</v>
      </c>
      <c r="G249" s="5"/>
      <c r="H249" s="69">
        <f aca="true" t="shared" si="22" ref="H249:H280">F249-D249</f>
        <v>-50</v>
      </c>
      <c r="I249" s="70">
        <f aca="true" t="shared" si="23" ref="I249:I280">F249/D249*100</f>
        <v>80</v>
      </c>
      <c r="J249" s="58"/>
      <c r="L249" s="29"/>
    </row>
    <row r="250" spans="1:12" ht="83.25" customHeight="1">
      <c r="A250" s="22"/>
      <c r="B250" s="49" t="s">
        <v>467</v>
      </c>
      <c r="C250" s="3" t="s">
        <v>278</v>
      </c>
      <c r="D250" s="1">
        <v>110</v>
      </c>
      <c r="E250" s="6"/>
      <c r="F250" s="1">
        <v>0</v>
      </c>
      <c r="G250" s="5"/>
      <c r="H250" s="69">
        <f t="shared" si="22"/>
        <v>-110</v>
      </c>
      <c r="I250" s="70">
        <f t="shared" si="23"/>
        <v>0</v>
      </c>
      <c r="J250" s="2"/>
      <c r="L250" s="40"/>
    </row>
    <row r="251" spans="1:12" ht="63">
      <c r="A251" s="22"/>
      <c r="B251" s="49" t="s">
        <v>467</v>
      </c>
      <c r="C251" s="3" t="s">
        <v>279</v>
      </c>
      <c r="D251" s="1">
        <v>2.5</v>
      </c>
      <c r="E251" s="6"/>
      <c r="F251" s="1">
        <v>0</v>
      </c>
      <c r="G251" s="5"/>
      <c r="H251" s="69">
        <f t="shared" si="22"/>
        <v>-2.5</v>
      </c>
      <c r="I251" s="70">
        <f t="shared" si="23"/>
        <v>0</v>
      </c>
      <c r="J251" s="2"/>
      <c r="L251" s="40"/>
    </row>
    <row r="252" spans="1:12" ht="83.25" customHeight="1">
      <c r="A252" s="22"/>
      <c r="B252" s="49" t="s">
        <v>467</v>
      </c>
      <c r="C252" s="3" t="s">
        <v>185</v>
      </c>
      <c r="D252" s="1">
        <v>18</v>
      </c>
      <c r="E252" s="6"/>
      <c r="F252" s="1">
        <v>0</v>
      </c>
      <c r="G252" s="5"/>
      <c r="H252" s="69">
        <f t="shared" si="22"/>
        <v>-18</v>
      </c>
      <c r="I252" s="70">
        <f t="shared" si="23"/>
        <v>0</v>
      </c>
      <c r="J252" s="2"/>
      <c r="L252" s="40"/>
    </row>
    <row r="253" spans="1:12" ht="78.75">
      <c r="A253" s="22"/>
      <c r="B253" s="49" t="s">
        <v>467</v>
      </c>
      <c r="C253" s="55" t="s">
        <v>274</v>
      </c>
      <c r="D253" s="1">
        <v>3.69</v>
      </c>
      <c r="E253" s="6"/>
      <c r="F253" s="1">
        <v>3.69</v>
      </c>
      <c r="G253" s="5"/>
      <c r="H253" s="69">
        <f t="shared" si="22"/>
        <v>0</v>
      </c>
      <c r="I253" s="70">
        <f t="shared" si="23"/>
        <v>100</v>
      </c>
      <c r="J253" s="2"/>
      <c r="L253" s="40"/>
    </row>
    <row r="254" spans="1:12" ht="0.75" customHeight="1" hidden="1">
      <c r="A254" s="22"/>
      <c r="B254" s="49" t="s">
        <v>467</v>
      </c>
      <c r="C254" s="55" t="s">
        <v>275</v>
      </c>
      <c r="D254" s="1"/>
      <c r="E254" s="6"/>
      <c r="F254" s="1"/>
      <c r="G254" s="5"/>
      <c r="H254" s="69">
        <f t="shared" si="22"/>
        <v>0</v>
      </c>
      <c r="I254" s="70" t="e">
        <f t="shared" si="23"/>
        <v>#DIV/0!</v>
      </c>
      <c r="J254" s="2"/>
      <c r="L254" s="40"/>
    </row>
    <row r="255" spans="1:12" ht="78.75">
      <c r="A255" s="22"/>
      <c r="B255" s="49" t="s">
        <v>467</v>
      </c>
      <c r="C255" s="47" t="s">
        <v>186</v>
      </c>
      <c r="D255" s="1">
        <v>19</v>
      </c>
      <c r="E255" s="6"/>
      <c r="F255" s="1">
        <v>0</v>
      </c>
      <c r="G255" s="5"/>
      <c r="H255" s="69">
        <f t="shared" si="22"/>
        <v>-19</v>
      </c>
      <c r="I255" s="70">
        <f t="shared" si="23"/>
        <v>0</v>
      </c>
      <c r="J255" s="2"/>
      <c r="L255" s="40"/>
    </row>
    <row r="256" spans="1:12" ht="66.75" customHeight="1">
      <c r="A256" s="22" t="s">
        <v>308</v>
      </c>
      <c r="B256" s="72" t="s">
        <v>72</v>
      </c>
      <c r="C256" s="74" t="s">
        <v>74</v>
      </c>
      <c r="D256" s="6">
        <v>4444.8</v>
      </c>
      <c r="E256" s="6"/>
      <c r="F256" s="6">
        <v>0</v>
      </c>
      <c r="G256" s="5"/>
      <c r="H256" s="68">
        <f t="shared" si="22"/>
        <v>-4444.8</v>
      </c>
      <c r="I256" s="73">
        <f t="shared" si="23"/>
        <v>0</v>
      </c>
      <c r="J256" s="2"/>
      <c r="L256" s="40"/>
    </row>
    <row r="257" spans="1:12" s="28" customFormat="1" ht="15.75">
      <c r="A257" s="91"/>
      <c r="B257" s="91"/>
      <c r="C257" s="80" t="s">
        <v>474</v>
      </c>
      <c r="D257" s="71">
        <f>D259+D261+D267+D270+D274</f>
        <v>3993.623950000001</v>
      </c>
      <c r="E257" s="71">
        <f>E259+E261+E267+E270</f>
        <v>19</v>
      </c>
      <c r="F257" s="71">
        <f>F259+F261+F267+F270+F274</f>
        <v>1769.66</v>
      </c>
      <c r="G257" s="71" t="e">
        <f>#REF!+#REF!+#REF!+#REF!+#REF!+#REF!+#REF!+#REF!</f>
        <v>#REF!</v>
      </c>
      <c r="H257" s="68">
        <f t="shared" si="22"/>
        <v>-2223.963950000001</v>
      </c>
      <c r="I257" s="73">
        <f t="shared" si="23"/>
        <v>44.31213409565014</v>
      </c>
      <c r="J257" s="59"/>
      <c r="L257" s="105"/>
    </row>
    <row r="258" spans="1:12" ht="15.75" hidden="1">
      <c r="A258" s="27" t="s">
        <v>295</v>
      </c>
      <c r="B258" s="64" t="s">
        <v>296</v>
      </c>
      <c r="C258" s="80" t="s">
        <v>392</v>
      </c>
      <c r="D258" s="71"/>
      <c r="E258" s="71"/>
      <c r="F258" s="71"/>
      <c r="G258" s="71"/>
      <c r="H258" s="68">
        <f t="shared" si="22"/>
        <v>0</v>
      </c>
      <c r="I258" s="73" t="e">
        <f t="shared" si="23"/>
        <v>#DIV/0!</v>
      </c>
      <c r="J258" s="2"/>
      <c r="L258" s="40"/>
    </row>
    <row r="259" spans="1:12" ht="20.25" customHeight="1">
      <c r="A259" s="27" t="s">
        <v>295</v>
      </c>
      <c r="B259" s="64" t="s">
        <v>296</v>
      </c>
      <c r="C259" s="74" t="s">
        <v>38</v>
      </c>
      <c r="D259" s="71">
        <v>75.8022</v>
      </c>
      <c r="E259" s="71"/>
      <c r="F259" s="71">
        <v>40.3022</v>
      </c>
      <c r="G259" s="71"/>
      <c r="H259" s="68">
        <f t="shared" si="22"/>
        <v>-35.5</v>
      </c>
      <c r="I259" s="73">
        <f t="shared" si="23"/>
        <v>53.16758616504534</v>
      </c>
      <c r="J259" s="2"/>
      <c r="L259" s="40"/>
    </row>
    <row r="260" spans="1:12" ht="13.5" customHeight="1" hidden="1">
      <c r="A260" s="27" t="s">
        <v>295</v>
      </c>
      <c r="B260" s="64" t="s">
        <v>296</v>
      </c>
      <c r="C260" s="55" t="s">
        <v>473</v>
      </c>
      <c r="D260" s="71">
        <v>0</v>
      </c>
      <c r="E260" s="71"/>
      <c r="F260" s="71"/>
      <c r="G260" s="71"/>
      <c r="H260" s="68">
        <f t="shared" si="22"/>
        <v>0</v>
      </c>
      <c r="I260" s="73" t="e">
        <f t="shared" si="23"/>
        <v>#DIV/0!</v>
      </c>
      <c r="J260" s="2"/>
      <c r="L260" s="40"/>
    </row>
    <row r="261" spans="1:12" ht="15.75">
      <c r="A261" s="17" t="s">
        <v>297</v>
      </c>
      <c r="B261" s="64" t="s">
        <v>298</v>
      </c>
      <c r="C261" s="74" t="s">
        <v>264</v>
      </c>
      <c r="D261" s="71">
        <f>D262+D263+D264+D265+D266</f>
        <v>3737.421750000001</v>
      </c>
      <c r="E261" s="71">
        <f>E262+E263+E264+E265+E266</f>
        <v>0</v>
      </c>
      <c r="F261" s="71">
        <f>F262+F263+F264+F265+F266</f>
        <v>1652.50452</v>
      </c>
      <c r="G261" s="71"/>
      <c r="H261" s="68">
        <f t="shared" si="22"/>
        <v>-2084.917230000001</v>
      </c>
      <c r="I261" s="73">
        <f t="shared" si="23"/>
        <v>44.21509346650534</v>
      </c>
      <c r="J261" s="2"/>
      <c r="L261" s="40"/>
    </row>
    <row r="262" spans="1:12" ht="15.75">
      <c r="A262" s="17"/>
      <c r="B262" s="64" t="s">
        <v>356</v>
      </c>
      <c r="C262" s="63" t="s">
        <v>45</v>
      </c>
      <c r="D262" s="71">
        <v>2108.64465</v>
      </c>
      <c r="E262" s="71"/>
      <c r="F262" s="71">
        <v>768.13803</v>
      </c>
      <c r="G262" s="71"/>
      <c r="H262" s="68">
        <f t="shared" si="22"/>
        <v>-1340.50662</v>
      </c>
      <c r="I262" s="73">
        <f t="shared" si="23"/>
        <v>36.428045379765614</v>
      </c>
      <c r="J262" s="2"/>
      <c r="L262" s="40"/>
    </row>
    <row r="263" spans="1:12" ht="15.75">
      <c r="A263" s="17"/>
      <c r="B263" s="64" t="s">
        <v>358</v>
      </c>
      <c r="C263" s="63" t="s">
        <v>44</v>
      </c>
      <c r="D263" s="71">
        <v>1604.1391</v>
      </c>
      <c r="E263" s="71"/>
      <c r="F263" s="71">
        <v>868.39449</v>
      </c>
      <c r="G263" s="71"/>
      <c r="H263" s="68">
        <f t="shared" si="22"/>
        <v>-735.7446100000001</v>
      </c>
      <c r="I263" s="73">
        <f t="shared" si="23"/>
        <v>54.13461276518975</v>
      </c>
      <c r="J263" s="2"/>
      <c r="L263" s="40"/>
    </row>
    <row r="264" spans="1:12" ht="15.75">
      <c r="A264" s="17"/>
      <c r="B264" s="64" t="s">
        <v>360</v>
      </c>
      <c r="C264" s="74" t="s">
        <v>395</v>
      </c>
      <c r="D264" s="71">
        <v>17.684</v>
      </c>
      <c r="E264" s="71"/>
      <c r="F264" s="71">
        <v>9.018</v>
      </c>
      <c r="G264" s="71"/>
      <c r="H264" s="68">
        <f t="shared" si="22"/>
        <v>-8.666</v>
      </c>
      <c r="I264" s="73">
        <f t="shared" si="23"/>
        <v>50.995249943451704</v>
      </c>
      <c r="J264" s="2"/>
      <c r="L264" s="40"/>
    </row>
    <row r="265" spans="1:12" ht="31.5">
      <c r="A265" s="17"/>
      <c r="B265" s="64" t="s">
        <v>377</v>
      </c>
      <c r="C265" s="74" t="s">
        <v>398</v>
      </c>
      <c r="D265" s="71">
        <v>6.954</v>
      </c>
      <c r="E265" s="71"/>
      <c r="F265" s="71">
        <v>6.954</v>
      </c>
      <c r="G265" s="71"/>
      <c r="H265" s="68">
        <f t="shared" si="22"/>
        <v>0</v>
      </c>
      <c r="I265" s="73">
        <f t="shared" si="23"/>
        <v>100</v>
      </c>
      <c r="J265" s="2"/>
      <c r="L265" s="40"/>
    </row>
    <row r="266" spans="1:12" ht="20.25" customHeight="1" hidden="1">
      <c r="A266" s="17"/>
      <c r="B266" s="64" t="s">
        <v>372</v>
      </c>
      <c r="C266" s="74" t="s">
        <v>399</v>
      </c>
      <c r="D266" s="71"/>
      <c r="E266" s="71"/>
      <c r="F266" s="71"/>
      <c r="G266" s="71"/>
      <c r="H266" s="68">
        <f t="shared" si="22"/>
        <v>0</v>
      </c>
      <c r="I266" s="73" t="e">
        <f t="shared" si="23"/>
        <v>#DIV/0!</v>
      </c>
      <c r="J266" s="2"/>
      <c r="L266" s="40"/>
    </row>
    <row r="267" spans="1:12" ht="15.75">
      <c r="A267" s="17"/>
      <c r="B267" s="64" t="s">
        <v>300</v>
      </c>
      <c r="C267" s="74" t="s">
        <v>265</v>
      </c>
      <c r="D267" s="71">
        <f>D268+D269</f>
        <v>45.3</v>
      </c>
      <c r="E267" s="71">
        <f>E268+E269</f>
        <v>19</v>
      </c>
      <c r="F267" s="71">
        <f>F268+F269</f>
        <v>10.16058</v>
      </c>
      <c r="G267" s="71"/>
      <c r="H267" s="68">
        <f t="shared" si="22"/>
        <v>-35.13942</v>
      </c>
      <c r="I267" s="73">
        <f t="shared" si="23"/>
        <v>22.42953642384106</v>
      </c>
      <c r="J267" s="2"/>
      <c r="L267" s="40"/>
    </row>
    <row r="268" spans="1:12" ht="63" hidden="1">
      <c r="A268" s="17"/>
      <c r="B268" s="48" t="s">
        <v>19</v>
      </c>
      <c r="C268" s="7" t="s">
        <v>238</v>
      </c>
      <c r="D268" s="1"/>
      <c r="E268" s="15"/>
      <c r="F268" s="4"/>
      <c r="G268" s="5"/>
      <c r="H268" s="69">
        <f t="shared" si="22"/>
        <v>0</v>
      </c>
      <c r="I268" s="70" t="e">
        <f t="shared" si="23"/>
        <v>#DIV/0!</v>
      </c>
      <c r="J268" s="2"/>
      <c r="L268" s="40"/>
    </row>
    <row r="269" spans="1:12" ht="63">
      <c r="A269" s="27" t="s">
        <v>311</v>
      </c>
      <c r="B269" s="48" t="s">
        <v>312</v>
      </c>
      <c r="C269" s="18" t="s">
        <v>34</v>
      </c>
      <c r="D269" s="15">
        <v>45.3</v>
      </c>
      <c r="E269" s="15">
        <v>19</v>
      </c>
      <c r="F269" s="4">
        <v>10.16058</v>
      </c>
      <c r="G269" s="5">
        <f>F269-L261</f>
        <v>10.16058</v>
      </c>
      <c r="H269" s="69">
        <f t="shared" si="22"/>
        <v>-35.13942</v>
      </c>
      <c r="I269" s="70">
        <f t="shared" si="23"/>
        <v>22.42953642384106</v>
      </c>
      <c r="J269" s="2"/>
      <c r="L269" s="40"/>
    </row>
    <row r="270" spans="1:12" ht="15.75">
      <c r="A270" s="19" t="s">
        <v>322</v>
      </c>
      <c r="B270" s="72" t="s">
        <v>335</v>
      </c>
      <c r="C270" s="55" t="s">
        <v>266</v>
      </c>
      <c r="D270" s="71">
        <f>D271+D272+D273</f>
        <v>135.1</v>
      </c>
      <c r="E270" s="71">
        <f>E271+E272+E273</f>
        <v>0</v>
      </c>
      <c r="F270" s="71">
        <f>F271+F272+F273</f>
        <v>66.6927</v>
      </c>
      <c r="G270" s="71"/>
      <c r="H270" s="68">
        <f t="shared" si="22"/>
        <v>-68.40729999999999</v>
      </c>
      <c r="I270" s="73">
        <f t="shared" si="23"/>
        <v>49.365433012583274</v>
      </c>
      <c r="J270" s="2"/>
      <c r="L270" s="40"/>
    </row>
    <row r="271" spans="1:12" ht="22.5" customHeight="1" hidden="1">
      <c r="A271" s="19"/>
      <c r="B271" s="49" t="s">
        <v>445</v>
      </c>
      <c r="C271" s="24" t="s">
        <v>244</v>
      </c>
      <c r="D271" s="12"/>
      <c r="E271" s="12"/>
      <c r="F271" s="12"/>
      <c r="G271" s="12"/>
      <c r="H271" s="69">
        <f t="shared" si="22"/>
        <v>0</v>
      </c>
      <c r="I271" s="70" t="e">
        <f t="shared" si="23"/>
        <v>#DIV/0!</v>
      </c>
      <c r="J271" s="2"/>
      <c r="L271" s="40"/>
    </row>
    <row r="272" spans="1:12" ht="15.75" hidden="1">
      <c r="A272" s="19"/>
      <c r="B272" s="49" t="s">
        <v>288</v>
      </c>
      <c r="C272" s="24" t="s">
        <v>268</v>
      </c>
      <c r="D272" s="12"/>
      <c r="E272" s="12"/>
      <c r="F272" s="12"/>
      <c r="G272" s="12"/>
      <c r="H272" s="69">
        <f t="shared" si="22"/>
        <v>0</v>
      </c>
      <c r="I272" s="70" t="e">
        <f t="shared" si="23"/>
        <v>#DIV/0!</v>
      </c>
      <c r="J272" s="2"/>
      <c r="L272" s="40"/>
    </row>
    <row r="273" spans="1:12" ht="15.75">
      <c r="A273" s="19"/>
      <c r="B273" s="49" t="s">
        <v>446</v>
      </c>
      <c r="C273" s="99" t="s">
        <v>267</v>
      </c>
      <c r="D273" s="12">
        <v>135.1</v>
      </c>
      <c r="E273" s="12"/>
      <c r="F273" s="12">
        <v>66.6927</v>
      </c>
      <c r="G273" s="12"/>
      <c r="H273" s="69">
        <f t="shared" si="22"/>
        <v>-68.40729999999999</v>
      </c>
      <c r="I273" s="70">
        <f t="shared" si="23"/>
        <v>49.365433012583274</v>
      </c>
      <c r="J273" s="2"/>
      <c r="L273" s="40"/>
    </row>
    <row r="274" spans="1:12" ht="31.5" hidden="1">
      <c r="A274" s="19"/>
      <c r="B274" s="72" t="s">
        <v>325</v>
      </c>
      <c r="C274" s="3" t="s">
        <v>39</v>
      </c>
      <c r="D274" s="71"/>
      <c r="E274" s="71"/>
      <c r="F274" s="71"/>
      <c r="G274" s="71"/>
      <c r="H274" s="68">
        <f t="shared" si="22"/>
        <v>0</v>
      </c>
      <c r="I274" s="73" t="e">
        <f t="shared" si="23"/>
        <v>#DIV/0!</v>
      </c>
      <c r="J274" s="2"/>
      <c r="L274" s="40"/>
    </row>
    <row r="275" spans="1:12" s="28" customFormat="1" ht="15.75">
      <c r="A275" s="97"/>
      <c r="B275" s="64"/>
      <c r="C275" s="80" t="s">
        <v>476</v>
      </c>
      <c r="D275" s="71">
        <f>D276+D277+D284+D289+D290+D296</f>
        <v>320.49097000000006</v>
      </c>
      <c r="E275" s="71">
        <f>E276+E277+E284+E289+E290+E296</f>
        <v>20.700000000000003</v>
      </c>
      <c r="F275" s="71">
        <f>F276+F277+F284+F289+F290+F296</f>
        <v>317.64031000000006</v>
      </c>
      <c r="G275" s="71"/>
      <c r="H275" s="68">
        <f t="shared" si="22"/>
        <v>-2.850660000000005</v>
      </c>
      <c r="I275" s="73">
        <f t="shared" si="23"/>
        <v>99.11053344186264</v>
      </c>
      <c r="J275" s="59"/>
      <c r="L275" s="105"/>
    </row>
    <row r="276" spans="1:12" ht="24" customHeight="1" hidden="1">
      <c r="A276" s="27"/>
      <c r="B276" s="64" t="s">
        <v>296</v>
      </c>
      <c r="C276" s="80" t="s">
        <v>89</v>
      </c>
      <c r="D276" s="71"/>
      <c r="E276" s="71"/>
      <c r="F276" s="71"/>
      <c r="G276" s="71"/>
      <c r="H276" s="68">
        <f t="shared" si="22"/>
        <v>0</v>
      </c>
      <c r="I276" s="73" t="e">
        <f t="shared" si="23"/>
        <v>#DIV/0!</v>
      </c>
      <c r="J276" s="2"/>
      <c r="L276" s="40"/>
    </row>
    <row r="277" spans="1:12" ht="15.75">
      <c r="A277" s="17" t="s">
        <v>297</v>
      </c>
      <c r="B277" s="64" t="s">
        <v>298</v>
      </c>
      <c r="C277" s="74" t="s">
        <v>264</v>
      </c>
      <c r="D277" s="71">
        <f>D278+D279+D280+D281+D283+D282</f>
        <v>298.87960000000004</v>
      </c>
      <c r="E277" s="71">
        <f>E278+E279+E280+E281+E283+E282</f>
        <v>0</v>
      </c>
      <c r="F277" s="71">
        <f>F278+F279+F280+F281+F283+F282</f>
        <v>296.02894000000003</v>
      </c>
      <c r="G277" s="71"/>
      <c r="H277" s="68">
        <f t="shared" si="22"/>
        <v>-2.850660000000005</v>
      </c>
      <c r="I277" s="73">
        <f t="shared" si="23"/>
        <v>99.0462179419405</v>
      </c>
      <c r="J277" s="2"/>
      <c r="L277" s="40"/>
    </row>
    <row r="278" spans="1:12" ht="15.75">
      <c r="A278" s="17"/>
      <c r="B278" s="48" t="s">
        <v>356</v>
      </c>
      <c r="C278" s="20" t="s">
        <v>45</v>
      </c>
      <c r="D278" s="12">
        <v>152.00845</v>
      </c>
      <c r="E278" s="12"/>
      <c r="F278" s="12">
        <v>152.00845</v>
      </c>
      <c r="G278" s="12"/>
      <c r="H278" s="69">
        <f t="shared" si="22"/>
        <v>0</v>
      </c>
      <c r="I278" s="70">
        <f t="shared" si="23"/>
        <v>100</v>
      </c>
      <c r="J278" s="2"/>
      <c r="L278" s="40"/>
    </row>
    <row r="279" spans="1:12" ht="15.75">
      <c r="A279" s="17"/>
      <c r="B279" s="48" t="s">
        <v>358</v>
      </c>
      <c r="C279" s="20" t="s">
        <v>44</v>
      </c>
      <c r="D279" s="12">
        <v>140.7243</v>
      </c>
      <c r="E279" s="12"/>
      <c r="F279" s="12">
        <v>137.87364</v>
      </c>
      <c r="G279" s="12"/>
      <c r="H279" s="69">
        <f t="shared" si="22"/>
        <v>-2.850660000000005</v>
      </c>
      <c r="I279" s="70">
        <f t="shared" si="23"/>
        <v>97.97429441823479</v>
      </c>
      <c r="J279" s="2"/>
      <c r="L279" s="40"/>
    </row>
    <row r="280" spans="1:12" ht="15.75">
      <c r="A280" s="17"/>
      <c r="B280" s="48" t="s">
        <v>360</v>
      </c>
      <c r="C280" s="18" t="s">
        <v>395</v>
      </c>
      <c r="D280" s="12">
        <v>6.00285</v>
      </c>
      <c r="E280" s="12"/>
      <c r="F280" s="12">
        <v>6.00285</v>
      </c>
      <c r="G280" s="12"/>
      <c r="H280" s="69">
        <f t="shared" si="22"/>
        <v>0</v>
      </c>
      <c r="I280" s="70">
        <f t="shared" si="23"/>
        <v>100</v>
      </c>
      <c r="J280" s="2"/>
      <c r="L280" s="40"/>
    </row>
    <row r="281" spans="1:12" ht="15" customHeight="1">
      <c r="A281" s="17"/>
      <c r="B281" s="48" t="s">
        <v>375</v>
      </c>
      <c r="C281" s="18" t="s">
        <v>46</v>
      </c>
      <c r="D281" s="12">
        <v>0.144</v>
      </c>
      <c r="E281" s="12"/>
      <c r="F281" s="12">
        <v>0.144</v>
      </c>
      <c r="G281" s="12"/>
      <c r="H281" s="69">
        <f aca="true" t="shared" si="24" ref="H281:H298">F281-D281</f>
        <v>0</v>
      </c>
      <c r="I281" s="70">
        <f aca="true" t="shared" si="25" ref="I281:I298">F281/D281*100</f>
        <v>100</v>
      </c>
      <c r="J281" s="2"/>
      <c r="L281" s="40"/>
    </row>
    <row r="282" spans="1:12" ht="31.5" hidden="1">
      <c r="A282" s="17"/>
      <c r="B282" s="48" t="s">
        <v>377</v>
      </c>
      <c r="C282" s="18" t="s">
        <v>398</v>
      </c>
      <c r="D282" s="12"/>
      <c r="E282" s="12"/>
      <c r="F282" s="12"/>
      <c r="G282" s="12"/>
      <c r="H282" s="69">
        <f t="shared" si="24"/>
        <v>0</v>
      </c>
      <c r="I282" s="70" t="e">
        <f t="shared" si="25"/>
        <v>#DIV/0!</v>
      </c>
      <c r="J282" s="2"/>
      <c r="L282" s="40"/>
    </row>
    <row r="283" spans="1:12" ht="31.5" hidden="1">
      <c r="A283" s="17"/>
      <c r="B283" s="48" t="s">
        <v>372</v>
      </c>
      <c r="C283" s="18" t="s">
        <v>399</v>
      </c>
      <c r="D283" s="12"/>
      <c r="E283" s="12"/>
      <c r="F283" s="12"/>
      <c r="G283" s="12"/>
      <c r="H283" s="69">
        <f t="shared" si="24"/>
        <v>0</v>
      </c>
      <c r="I283" s="70" t="e">
        <f t="shared" si="25"/>
        <v>#DIV/0!</v>
      </c>
      <c r="J283" s="2"/>
      <c r="L283" s="40"/>
    </row>
    <row r="284" spans="1:12" ht="15.75">
      <c r="A284" s="17"/>
      <c r="B284" s="64" t="s">
        <v>300</v>
      </c>
      <c r="C284" s="74" t="s">
        <v>265</v>
      </c>
      <c r="D284" s="71">
        <f>D285+D286+D287+D288</f>
        <v>0.05</v>
      </c>
      <c r="E284" s="71">
        <f>E285+E286+E287+E288</f>
        <v>0</v>
      </c>
      <c r="F284" s="71">
        <f>F285+F286+F287+F288</f>
        <v>0.05</v>
      </c>
      <c r="G284" s="71"/>
      <c r="H284" s="68">
        <f t="shared" si="24"/>
        <v>0</v>
      </c>
      <c r="I284" s="73">
        <f t="shared" si="25"/>
        <v>100</v>
      </c>
      <c r="J284" s="2"/>
      <c r="L284" s="40"/>
    </row>
    <row r="285" spans="1:12" ht="31.5">
      <c r="A285" s="17"/>
      <c r="B285" s="48" t="s">
        <v>309</v>
      </c>
      <c r="C285" s="18" t="s">
        <v>158</v>
      </c>
      <c r="D285" s="12">
        <v>0.05</v>
      </c>
      <c r="E285" s="12"/>
      <c r="F285" s="12">
        <v>0.05</v>
      </c>
      <c r="G285" s="12"/>
      <c r="H285" s="69">
        <f t="shared" si="24"/>
        <v>0</v>
      </c>
      <c r="I285" s="70">
        <f t="shared" si="25"/>
        <v>100</v>
      </c>
      <c r="J285" s="2"/>
      <c r="L285" s="40"/>
    </row>
    <row r="286" spans="1:12" ht="63" hidden="1">
      <c r="A286" s="17"/>
      <c r="B286" s="48" t="s">
        <v>19</v>
      </c>
      <c r="C286" s="7" t="s">
        <v>238</v>
      </c>
      <c r="D286" s="12"/>
      <c r="E286" s="12"/>
      <c r="F286" s="12"/>
      <c r="G286" s="12"/>
      <c r="H286" s="69">
        <f t="shared" si="24"/>
        <v>0</v>
      </c>
      <c r="I286" s="70" t="e">
        <f t="shared" si="25"/>
        <v>#DIV/0!</v>
      </c>
      <c r="J286" s="2"/>
      <c r="L286" s="40"/>
    </row>
    <row r="287" spans="1:12" ht="47.25" hidden="1">
      <c r="A287" s="17"/>
      <c r="B287" s="48" t="s">
        <v>25</v>
      </c>
      <c r="C287" s="3" t="s">
        <v>269</v>
      </c>
      <c r="D287" s="12"/>
      <c r="E287" s="12"/>
      <c r="F287" s="12"/>
      <c r="G287" s="12"/>
      <c r="H287" s="69">
        <f t="shared" si="24"/>
        <v>0</v>
      </c>
      <c r="I287" s="70" t="e">
        <f t="shared" si="25"/>
        <v>#DIV/0!</v>
      </c>
      <c r="J287" s="2"/>
      <c r="L287" s="40"/>
    </row>
    <row r="288" spans="1:12" ht="63" hidden="1">
      <c r="A288" s="17"/>
      <c r="B288" s="48" t="s">
        <v>312</v>
      </c>
      <c r="C288" s="18" t="s">
        <v>34</v>
      </c>
      <c r="D288" s="12"/>
      <c r="E288" s="12"/>
      <c r="F288" s="12"/>
      <c r="G288" s="12"/>
      <c r="H288" s="69">
        <f t="shared" si="24"/>
        <v>0</v>
      </c>
      <c r="I288" s="70" t="e">
        <f t="shared" si="25"/>
        <v>#DIV/0!</v>
      </c>
      <c r="J288" s="2"/>
      <c r="L288" s="40"/>
    </row>
    <row r="289" spans="1:12" ht="63" hidden="1">
      <c r="A289" s="27" t="s">
        <v>311</v>
      </c>
      <c r="B289" s="64" t="s">
        <v>321</v>
      </c>
      <c r="C289" s="55" t="s">
        <v>270</v>
      </c>
      <c r="D289" s="6"/>
      <c r="E289" s="6">
        <v>20.6</v>
      </c>
      <c r="F289" s="6"/>
      <c r="G289" s="5"/>
      <c r="H289" s="68">
        <f t="shared" si="24"/>
        <v>0</v>
      </c>
      <c r="I289" s="73" t="e">
        <f t="shared" si="25"/>
        <v>#DIV/0!</v>
      </c>
      <c r="J289" s="2"/>
      <c r="L289" s="40"/>
    </row>
    <row r="290" spans="1:12" ht="15.75">
      <c r="A290" s="19" t="s">
        <v>322</v>
      </c>
      <c r="B290" s="72" t="s">
        <v>335</v>
      </c>
      <c r="C290" s="63" t="s">
        <v>266</v>
      </c>
      <c r="D290" s="100">
        <f>D291+D292+D293+D294</f>
        <v>21.56137</v>
      </c>
      <c r="E290" s="100">
        <f>E291+E292+E293+E294</f>
        <v>0</v>
      </c>
      <c r="F290" s="100">
        <f>F291+F292+F293+F294</f>
        <v>21.56137</v>
      </c>
      <c r="G290" s="71"/>
      <c r="H290" s="68">
        <f t="shared" si="24"/>
        <v>0</v>
      </c>
      <c r="I290" s="73">
        <f t="shared" si="25"/>
        <v>100</v>
      </c>
      <c r="J290" s="2"/>
      <c r="L290" s="40"/>
    </row>
    <row r="291" spans="1:12" ht="15.75">
      <c r="A291" s="19"/>
      <c r="B291" s="72" t="s">
        <v>444</v>
      </c>
      <c r="C291" s="87" t="s">
        <v>271</v>
      </c>
      <c r="D291" s="100">
        <v>14.61137</v>
      </c>
      <c r="E291" s="71"/>
      <c r="F291" s="71">
        <v>14.61137</v>
      </c>
      <c r="G291" s="71"/>
      <c r="H291" s="68">
        <f t="shared" si="24"/>
        <v>0</v>
      </c>
      <c r="I291" s="73">
        <f t="shared" si="25"/>
        <v>100</v>
      </c>
      <c r="J291" s="2"/>
      <c r="L291" s="40"/>
    </row>
    <row r="292" spans="1:12" ht="15.75" customHeight="1">
      <c r="A292" s="19"/>
      <c r="B292" s="72" t="s">
        <v>445</v>
      </c>
      <c r="C292" s="87" t="s">
        <v>192</v>
      </c>
      <c r="D292" s="100">
        <v>0.34</v>
      </c>
      <c r="E292" s="71"/>
      <c r="F292" s="71">
        <v>0.34</v>
      </c>
      <c r="G292" s="71"/>
      <c r="H292" s="68">
        <f t="shared" si="24"/>
        <v>0</v>
      </c>
      <c r="I292" s="73">
        <f t="shared" si="25"/>
        <v>100</v>
      </c>
      <c r="J292" s="2"/>
      <c r="L292" s="40"/>
    </row>
    <row r="293" spans="1:12" ht="15.75">
      <c r="A293" s="19"/>
      <c r="B293" s="72" t="s">
        <v>446</v>
      </c>
      <c r="C293" s="99" t="s">
        <v>267</v>
      </c>
      <c r="D293" s="100">
        <v>2.22</v>
      </c>
      <c r="E293" s="71"/>
      <c r="F293" s="71">
        <v>2.22</v>
      </c>
      <c r="G293" s="71"/>
      <c r="H293" s="68">
        <f t="shared" si="24"/>
        <v>0</v>
      </c>
      <c r="I293" s="73">
        <f t="shared" si="25"/>
        <v>100</v>
      </c>
      <c r="J293" s="2"/>
      <c r="L293" s="40"/>
    </row>
    <row r="294" spans="1:12" ht="31.5">
      <c r="A294" s="19"/>
      <c r="B294" s="72" t="s">
        <v>424</v>
      </c>
      <c r="C294" s="99" t="s">
        <v>281</v>
      </c>
      <c r="D294" s="100">
        <v>4.39</v>
      </c>
      <c r="E294" s="71"/>
      <c r="F294" s="71">
        <v>4.39</v>
      </c>
      <c r="G294" s="71"/>
      <c r="H294" s="68">
        <f t="shared" si="24"/>
        <v>0</v>
      </c>
      <c r="I294" s="73">
        <f t="shared" si="25"/>
        <v>100</v>
      </c>
      <c r="J294" s="2"/>
      <c r="L294" s="40"/>
    </row>
    <row r="295" spans="1:12" ht="66" customHeight="1" hidden="1">
      <c r="A295" s="19"/>
      <c r="B295" s="72" t="s">
        <v>415</v>
      </c>
      <c r="C295" s="55" t="s">
        <v>282</v>
      </c>
      <c r="D295" s="100"/>
      <c r="E295" s="71"/>
      <c r="F295" s="71"/>
      <c r="G295" s="71"/>
      <c r="H295" s="68">
        <f t="shared" si="24"/>
        <v>0</v>
      </c>
      <c r="I295" s="76" t="e">
        <f t="shared" si="25"/>
        <v>#DIV/0!</v>
      </c>
      <c r="J295" s="2"/>
      <c r="L295" s="40"/>
    </row>
    <row r="296" spans="1:12" ht="31.5" hidden="1">
      <c r="A296" s="27" t="s">
        <v>323</v>
      </c>
      <c r="B296" s="64" t="s">
        <v>325</v>
      </c>
      <c r="C296" s="80" t="s">
        <v>39</v>
      </c>
      <c r="D296" s="6"/>
      <c r="E296" s="6">
        <v>0.1</v>
      </c>
      <c r="F296" s="5"/>
      <c r="G296" s="5" t="e">
        <f>F296-#REF!</f>
        <v>#REF!</v>
      </c>
      <c r="H296" s="68">
        <f t="shared" si="24"/>
        <v>0</v>
      </c>
      <c r="I296" s="73" t="e">
        <f t="shared" si="25"/>
        <v>#DIV/0!</v>
      </c>
      <c r="J296" s="2"/>
      <c r="L296" s="59"/>
    </row>
    <row r="297" spans="1:12" ht="18" customHeight="1">
      <c r="A297" s="27"/>
      <c r="B297" s="97"/>
      <c r="C297" s="74" t="s">
        <v>391</v>
      </c>
      <c r="D297" s="6">
        <f>D185+D257+D275</f>
        <v>30693.000479999995</v>
      </c>
      <c r="E297" s="6">
        <f>E185+E257+E275</f>
        <v>155.7</v>
      </c>
      <c r="F297" s="6">
        <f>F185+F257+F275</f>
        <v>7600.41719</v>
      </c>
      <c r="G297" s="6" t="e">
        <f>G257+#REF!+#REF!</f>
        <v>#REF!</v>
      </c>
      <c r="H297" s="68">
        <f t="shared" si="24"/>
        <v>-23092.583289999995</v>
      </c>
      <c r="I297" s="73">
        <f t="shared" si="25"/>
        <v>24.76270508304505</v>
      </c>
      <c r="L297" s="29"/>
    </row>
    <row r="298" spans="1:12" ht="18" customHeight="1">
      <c r="A298" s="27"/>
      <c r="B298" s="97"/>
      <c r="C298" s="74" t="s">
        <v>290</v>
      </c>
      <c r="D298" s="6">
        <f>D297+D183</f>
        <v>197248.77613</v>
      </c>
      <c r="E298" s="6"/>
      <c r="F298" s="6">
        <f>F297+F183</f>
        <v>87505.23765999998</v>
      </c>
      <c r="G298" s="6"/>
      <c r="H298" s="68">
        <f t="shared" si="24"/>
        <v>-109743.53847000003</v>
      </c>
      <c r="I298" s="73">
        <f t="shared" si="25"/>
        <v>44.36287990062267</v>
      </c>
      <c r="L298" s="29"/>
    </row>
    <row r="299" spans="1:12" ht="78" customHeight="1">
      <c r="A299" s="117" t="s">
        <v>28</v>
      </c>
      <c r="B299" s="117"/>
      <c r="C299" s="117"/>
      <c r="D299" s="117"/>
      <c r="E299" s="60"/>
      <c r="F299" s="114" t="s">
        <v>47</v>
      </c>
      <c r="G299" s="114"/>
      <c r="H299" s="114"/>
      <c r="I299" s="114"/>
      <c r="L299" s="29"/>
    </row>
    <row r="300" spans="1:12" ht="18" customHeight="1">
      <c r="A300" s="106"/>
      <c r="B300" s="106"/>
      <c r="C300" s="106"/>
      <c r="G300" s="107"/>
      <c r="H300" s="107"/>
      <c r="L300" s="29"/>
    </row>
    <row r="301" spans="1:12" ht="18" customHeight="1">
      <c r="A301" s="106"/>
      <c r="B301" s="106"/>
      <c r="C301" s="106"/>
      <c r="L301" s="29"/>
    </row>
    <row r="302" spans="3:12" ht="15.75">
      <c r="C302" s="41"/>
      <c r="L302" s="34"/>
    </row>
    <row r="303" spans="3:12" ht="15.75">
      <c r="C303" s="42"/>
      <c r="D303" s="43"/>
      <c r="E303" s="43"/>
      <c r="F303" s="43"/>
      <c r="G303" s="44"/>
      <c r="L303" s="45"/>
    </row>
    <row r="304" spans="3:12" ht="45" customHeight="1">
      <c r="C304" s="41"/>
      <c r="D304" s="9"/>
      <c r="E304" s="9"/>
      <c r="F304" s="9"/>
      <c r="G304" s="46"/>
      <c r="H304" s="9"/>
      <c r="L304" s="45"/>
    </row>
    <row r="305" spans="3:12" ht="84" customHeight="1">
      <c r="C305" s="41"/>
      <c r="D305" s="9"/>
      <c r="E305" s="9"/>
      <c r="F305" s="9"/>
      <c r="G305" s="46"/>
      <c r="L305" s="29"/>
    </row>
    <row r="306" spans="3:12" ht="15.75">
      <c r="C306" s="41"/>
      <c r="L306" s="45"/>
    </row>
    <row r="307" spans="3:12" ht="15.75">
      <c r="C307" s="41"/>
      <c r="D307" s="9"/>
      <c r="E307" s="9"/>
      <c r="F307" s="9"/>
      <c r="G307" s="46"/>
      <c r="L307" s="29"/>
    </row>
    <row r="308" ht="15.75">
      <c r="L308" s="29"/>
    </row>
    <row r="309" ht="15.75">
      <c r="L309" s="29"/>
    </row>
    <row r="310" ht="15.75">
      <c r="L310" s="29"/>
    </row>
    <row r="311" ht="15.75">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sheetData>
  <mergeCells count="10">
    <mergeCell ref="A301:C301"/>
    <mergeCell ref="H6:I6"/>
    <mergeCell ref="A9:I9"/>
    <mergeCell ref="A184:I184"/>
    <mergeCell ref="F299:I299"/>
    <mergeCell ref="A299:D299"/>
    <mergeCell ref="A4:I4"/>
    <mergeCell ref="A5:I5"/>
    <mergeCell ref="A300:C300"/>
    <mergeCell ref="G300:H300"/>
  </mergeCells>
  <printOptions/>
  <pageMargins left="1.41" right="0.31" top="0.55" bottom="0.19" header="0" footer="0"/>
  <pageSetup blackAndWhite="1" fitToHeight="7"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1">
      <selection activeCell="F7" sqref="F7"/>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27</v>
      </c>
      <c r="F1" s="77" t="s">
        <v>29</v>
      </c>
      <c r="G1" s="62"/>
      <c r="H1" s="62"/>
      <c r="I1" s="62"/>
    </row>
    <row r="2" spans="5:9" s="52" customFormat="1" ht="26.25" hidden="1">
      <c r="E2" s="62"/>
      <c r="F2" s="78" t="s">
        <v>95</v>
      </c>
      <c r="G2" s="62"/>
      <c r="H2" s="53"/>
      <c r="I2" s="53"/>
    </row>
    <row r="3" spans="5:9" s="52" customFormat="1" ht="26.25" hidden="1">
      <c r="E3" s="62"/>
      <c r="F3" s="78" t="s">
        <v>97</v>
      </c>
      <c r="G3" s="62"/>
      <c r="H3" s="53"/>
      <c r="I3" s="53"/>
    </row>
    <row r="4" spans="1:12" s="52" customFormat="1" ht="24.75" customHeight="1">
      <c r="A4" s="116" t="s">
        <v>24</v>
      </c>
      <c r="B4" s="116"/>
      <c r="C4" s="116"/>
      <c r="D4" s="116"/>
      <c r="E4" s="116"/>
      <c r="F4" s="116"/>
      <c r="G4" s="116"/>
      <c r="H4" s="116"/>
      <c r="I4" s="116"/>
      <c r="J4" s="53"/>
      <c r="L4" s="54"/>
    </row>
    <row r="5" spans="1:12" s="52" customFormat="1" ht="26.25">
      <c r="A5" s="116" t="s">
        <v>68</v>
      </c>
      <c r="B5" s="116"/>
      <c r="C5" s="116"/>
      <c r="D5" s="116"/>
      <c r="E5" s="116"/>
      <c r="F5" s="116"/>
      <c r="G5" s="116"/>
      <c r="H5" s="116"/>
      <c r="I5" s="116"/>
      <c r="J5" s="56"/>
      <c r="L5" s="54"/>
    </row>
    <row r="6" spans="8:13" ht="15.75">
      <c r="H6" s="108" t="s">
        <v>56</v>
      </c>
      <c r="I6" s="108"/>
      <c r="J6" s="30"/>
      <c r="K6" s="31"/>
      <c r="L6" s="30"/>
      <c r="M6" s="31"/>
    </row>
    <row r="7" spans="1:12" ht="78.75">
      <c r="A7" s="32" t="s">
        <v>292</v>
      </c>
      <c r="B7" s="32" t="s">
        <v>293</v>
      </c>
      <c r="C7" s="32" t="s">
        <v>294</v>
      </c>
      <c r="D7" s="33" t="s">
        <v>57</v>
      </c>
      <c r="E7" s="32" t="s">
        <v>456</v>
      </c>
      <c r="F7" s="32" t="s">
        <v>455</v>
      </c>
      <c r="G7" s="33" t="s">
        <v>451</v>
      </c>
      <c r="H7" s="32" t="s">
        <v>59</v>
      </c>
      <c r="I7" s="32" t="s">
        <v>60</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295</v>
      </c>
      <c r="B10" s="79" t="s">
        <v>296</v>
      </c>
      <c r="C10" s="80" t="s">
        <v>98</v>
      </c>
      <c r="D10" s="5">
        <f>SUM(D11:D19)</f>
        <v>11305.20986</v>
      </c>
      <c r="E10" s="5">
        <f>SUM(E11:E19)</f>
        <v>3613.0000000000005</v>
      </c>
      <c r="F10" s="5">
        <f>SUM(F11:F19)</f>
        <v>5940.83572</v>
      </c>
      <c r="G10" s="5" t="e">
        <f>SUM(G11:G19)</f>
        <v>#REF!</v>
      </c>
      <c r="H10" s="5">
        <f aca="true" t="shared" si="0" ref="H10:H34">F10-D10</f>
        <v>-5364.374140000001</v>
      </c>
      <c r="I10" s="6">
        <f aca="true" t="shared" si="1" ref="I10:I26">F10/D10*100</f>
        <v>52.54953949169767</v>
      </c>
      <c r="J10" s="2"/>
      <c r="L10" s="37"/>
    </row>
    <row r="11" spans="1:12" ht="15.75">
      <c r="A11" s="17" t="s">
        <v>295</v>
      </c>
      <c r="B11" s="48" t="s">
        <v>296</v>
      </c>
      <c r="C11" s="18" t="s">
        <v>114</v>
      </c>
      <c r="D11" s="6">
        <f>661.187+1.6</f>
        <v>662.787</v>
      </c>
      <c r="E11" s="1">
        <v>314.3</v>
      </c>
      <c r="F11" s="4">
        <v>428.88991</v>
      </c>
      <c r="G11" s="5">
        <f>F11-L10</f>
        <v>428.88991</v>
      </c>
      <c r="H11" s="4">
        <f t="shared" si="0"/>
        <v>-233.89709000000005</v>
      </c>
      <c r="I11" s="1">
        <f t="shared" si="1"/>
        <v>64.71006673335475</v>
      </c>
      <c r="J11" s="2"/>
      <c r="L11" s="37"/>
    </row>
    <row r="12" spans="1:12" ht="31.5">
      <c r="A12" s="17" t="s">
        <v>295</v>
      </c>
      <c r="B12" s="48" t="s">
        <v>296</v>
      </c>
      <c r="C12" s="18" t="s">
        <v>118</v>
      </c>
      <c r="D12" s="6">
        <f>5185.09256-5</f>
        <v>5180.09256</v>
      </c>
      <c r="E12" s="1">
        <v>1487.3</v>
      </c>
      <c r="F12" s="4">
        <v>2636.59402</v>
      </c>
      <c r="G12" s="5">
        <f>F12-L11</f>
        <v>2636.59402</v>
      </c>
      <c r="H12" s="4">
        <f t="shared" si="0"/>
        <v>-2543.49854</v>
      </c>
      <c r="I12" s="1">
        <f t="shared" si="1"/>
        <v>50.89858896266518</v>
      </c>
      <c r="J12" s="2"/>
      <c r="L12" s="37"/>
    </row>
    <row r="13" spans="1:12" ht="47.25">
      <c r="A13" s="17"/>
      <c r="B13" s="48" t="s">
        <v>296</v>
      </c>
      <c r="C13" s="18" t="s">
        <v>251</v>
      </c>
      <c r="D13" s="6">
        <v>42.653</v>
      </c>
      <c r="E13" s="1"/>
      <c r="F13" s="4">
        <v>5.146</v>
      </c>
      <c r="G13" s="5"/>
      <c r="H13" s="4">
        <f t="shared" si="0"/>
        <v>-37.507</v>
      </c>
      <c r="I13" s="1">
        <f t="shared" si="1"/>
        <v>12.064802006892833</v>
      </c>
      <c r="J13" s="2"/>
      <c r="L13" s="37"/>
    </row>
    <row r="14" spans="1:12" ht="31.5">
      <c r="A14" s="17" t="s">
        <v>295</v>
      </c>
      <c r="B14" s="48" t="s">
        <v>296</v>
      </c>
      <c r="C14" s="18" t="s">
        <v>119</v>
      </c>
      <c r="D14" s="6">
        <v>1142.398</v>
      </c>
      <c r="E14" s="1">
        <v>432.3</v>
      </c>
      <c r="F14" s="4">
        <v>575.64424</v>
      </c>
      <c r="G14" s="5">
        <f>F14-L12</f>
        <v>575.64424</v>
      </c>
      <c r="H14" s="4">
        <f t="shared" si="0"/>
        <v>-566.7537599999999</v>
      </c>
      <c r="I14" s="1">
        <f t="shared" si="1"/>
        <v>50.389114826881695</v>
      </c>
      <c r="J14" s="2"/>
      <c r="L14" s="37"/>
    </row>
    <row r="15" spans="1:12" ht="31.5">
      <c r="A15" s="17" t="s">
        <v>295</v>
      </c>
      <c r="B15" s="48" t="s">
        <v>296</v>
      </c>
      <c r="C15" s="7" t="s">
        <v>120</v>
      </c>
      <c r="D15" s="6">
        <v>1838.62908</v>
      </c>
      <c r="E15" s="1">
        <v>549.7</v>
      </c>
      <c r="F15" s="4">
        <v>974.27396</v>
      </c>
      <c r="G15" s="5">
        <f>F15-L14</f>
        <v>974.27396</v>
      </c>
      <c r="H15" s="4">
        <f t="shared" si="0"/>
        <v>-864.3551199999999</v>
      </c>
      <c r="I15" s="1">
        <f t="shared" si="1"/>
        <v>52.989152113269085</v>
      </c>
      <c r="J15" s="2"/>
      <c r="L15" s="37"/>
    </row>
    <row r="16" spans="1:12" ht="47.25">
      <c r="A16" s="17" t="s">
        <v>295</v>
      </c>
      <c r="B16" s="48" t="s">
        <v>296</v>
      </c>
      <c r="C16" s="7" t="s">
        <v>121</v>
      </c>
      <c r="D16" s="6">
        <f>846.4-3.5</f>
        <v>842.9</v>
      </c>
      <c r="E16" s="1">
        <v>309</v>
      </c>
      <c r="F16" s="4">
        <v>419.84027</v>
      </c>
      <c r="G16" s="5">
        <f>F16-L15</f>
        <v>419.84027</v>
      </c>
      <c r="H16" s="4">
        <f t="shared" si="0"/>
        <v>-423.05973</v>
      </c>
      <c r="I16" s="1">
        <f t="shared" si="1"/>
        <v>49.80902479534939</v>
      </c>
      <c r="J16" s="2"/>
      <c r="L16" s="37"/>
    </row>
    <row r="17" spans="1:12" ht="31.5">
      <c r="A17" s="17" t="s">
        <v>295</v>
      </c>
      <c r="B17" s="48" t="s">
        <v>296</v>
      </c>
      <c r="C17" s="7" t="s">
        <v>122</v>
      </c>
      <c r="D17" s="6">
        <v>763.1878</v>
      </c>
      <c r="E17" s="1">
        <v>258.7</v>
      </c>
      <c r="F17" s="4">
        <v>420.1766</v>
      </c>
      <c r="G17" s="5">
        <f>F17-L16</f>
        <v>420.1766</v>
      </c>
      <c r="H17" s="4">
        <f t="shared" si="0"/>
        <v>-343.01120000000003</v>
      </c>
      <c r="I17" s="1">
        <f t="shared" si="1"/>
        <v>55.05546603339309</v>
      </c>
      <c r="J17" s="2"/>
      <c r="L17" s="37"/>
    </row>
    <row r="18" spans="1:12" ht="31.5">
      <c r="A18" s="17" t="s">
        <v>295</v>
      </c>
      <c r="B18" s="48" t="s">
        <v>296</v>
      </c>
      <c r="C18" s="18" t="s">
        <v>123</v>
      </c>
      <c r="D18" s="6">
        <f>441.5034+1.2</f>
        <v>442.7034</v>
      </c>
      <c r="E18" s="1">
        <v>132.9</v>
      </c>
      <c r="F18" s="4">
        <v>259.55259</v>
      </c>
      <c r="G18" s="5" t="e">
        <f>F18-#REF!</f>
        <v>#REF!</v>
      </c>
      <c r="H18" s="4">
        <f t="shared" si="0"/>
        <v>-183.15080999999998</v>
      </c>
      <c r="I18" s="1">
        <f t="shared" si="1"/>
        <v>58.62900307519663</v>
      </c>
      <c r="J18" s="2"/>
      <c r="L18" s="37"/>
    </row>
    <row r="19" spans="1:12" ht="31.5">
      <c r="A19" s="17" t="s">
        <v>295</v>
      </c>
      <c r="B19" s="48" t="s">
        <v>296</v>
      </c>
      <c r="C19" s="18" t="s">
        <v>124</v>
      </c>
      <c r="D19" s="6">
        <v>389.85902</v>
      </c>
      <c r="E19" s="1">
        <v>128.8</v>
      </c>
      <c r="F19" s="4">
        <v>220.71813</v>
      </c>
      <c r="G19" s="5">
        <f>F19-L18</f>
        <v>220.71813</v>
      </c>
      <c r="H19" s="4">
        <f t="shared" si="0"/>
        <v>-169.14088999999998</v>
      </c>
      <c r="I19" s="1">
        <f t="shared" si="1"/>
        <v>56.61485785297465</v>
      </c>
      <c r="J19" s="2"/>
      <c r="L19" s="2"/>
    </row>
    <row r="20" spans="1:12" ht="63">
      <c r="A20" s="17"/>
      <c r="B20" s="72" t="s">
        <v>478</v>
      </c>
      <c r="C20" s="55" t="s">
        <v>125</v>
      </c>
      <c r="D20" s="46">
        <v>36.31</v>
      </c>
      <c r="E20" s="46"/>
      <c r="F20" s="5">
        <v>0</v>
      </c>
      <c r="G20" s="5"/>
      <c r="H20" s="5">
        <f t="shared" si="0"/>
        <v>-36.31</v>
      </c>
      <c r="I20" s="6">
        <f t="shared" si="1"/>
        <v>0</v>
      </c>
      <c r="J20" s="2"/>
      <c r="L20" s="2"/>
    </row>
    <row r="21" spans="1:12" ht="15.75">
      <c r="A21" s="17" t="s">
        <v>297</v>
      </c>
      <c r="B21" s="64" t="s">
        <v>298</v>
      </c>
      <c r="C21" s="74" t="s">
        <v>99</v>
      </c>
      <c r="D21" s="6">
        <f>SUM(D22:D28)</f>
        <v>61786.01433</v>
      </c>
      <c r="E21" s="6">
        <f>SUM(E22:E28)</f>
        <v>21838.1</v>
      </c>
      <c r="F21" s="6">
        <f>SUM(F22:F28)</f>
        <v>36309.51933</v>
      </c>
      <c r="G21" s="6">
        <f>SUM(G22:G28)</f>
        <v>36308.00533</v>
      </c>
      <c r="H21" s="5">
        <f t="shared" si="0"/>
        <v>-25476.494999999995</v>
      </c>
      <c r="I21" s="6">
        <f t="shared" si="1"/>
        <v>58.76656671212086</v>
      </c>
      <c r="J21" s="2"/>
      <c r="L21" s="37"/>
    </row>
    <row r="22" spans="1:12" ht="15.75">
      <c r="A22" s="17" t="s">
        <v>357</v>
      </c>
      <c r="B22" s="64" t="s">
        <v>356</v>
      </c>
      <c r="C22" s="74" t="s">
        <v>393</v>
      </c>
      <c r="D22" s="6">
        <f>22210.87718-1.5-16.73</f>
        <v>22192.64718</v>
      </c>
      <c r="E22" s="6">
        <v>7100.2</v>
      </c>
      <c r="F22" s="5">
        <f>12820.23571-1.514</f>
        <v>12818.721710000002</v>
      </c>
      <c r="G22" s="5">
        <f>F22-L21</f>
        <v>12818.721710000002</v>
      </c>
      <c r="H22" s="5">
        <f t="shared" si="0"/>
        <v>-9373.925469999998</v>
      </c>
      <c r="I22" s="6">
        <f t="shared" si="1"/>
        <v>57.761120636172805</v>
      </c>
      <c r="J22" s="2"/>
      <c r="L22" s="37"/>
    </row>
    <row r="23" spans="1:12" ht="33" customHeight="1">
      <c r="A23" s="17"/>
      <c r="B23" s="64" t="s">
        <v>356</v>
      </c>
      <c r="C23" s="74" t="s">
        <v>126</v>
      </c>
      <c r="D23" s="6">
        <v>1.514</v>
      </c>
      <c r="E23" s="6"/>
      <c r="F23" s="5">
        <v>1.514</v>
      </c>
      <c r="G23" s="5"/>
      <c r="H23" s="5">
        <f t="shared" si="0"/>
        <v>0</v>
      </c>
      <c r="I23" s="6">
        <f t="shared" si="1"/>
        <v>100</v>
      </c>
      <c r="J23" s="2"/>
      <c r="L23" s="37"/>
    </row>
    <row r="24" spans="1:12" ht="15.75">
      <c r="A24" s="17" t="s">
        <v>359</v>
      </c>
      <c r="B24" s="64" t="s">
        <v>358</v>
      </c>
      <c r="C24" s="74" t="s">
        <v>394</v>
      </c>
      <c r="D24" s="6">
        <f>32238.68869-2.5+16.305-19.57</f>
        <v>32232.92369</v>
      </c>
      <c r="E24" s="6">
        <v>12055.3</v>
      </c>
      <c r="F24" s="5">
        <v>19290.35596</v>
      </c>
      <c r="G24" s="5">
        <f>F24-L22</f>
        <v>19290.35596</v>
      </c>
      <c r="H24" s="5">
        <f t="shared" si="0"/>
        <v>-12942.567729999999</v>
      </c>
      <c r="I24" s="6">
        <f t="shared" si="1"/>
        <v>59.84674597168074</v>
      </c>
      <c r="J24" s="2"/>
      <c r="L24" s="37"/>
    </row>
    <row r="25" spans="1:12" ht="31.5">
      <c r="A25" s="17" t="s">
        <v>357</v>
      </c>
      <c r="B25" s="64" t="s">
        <v>457</v>
      </c>
      <c r="C25" s="74" t="s">
        <v>127</v>
      </c>
      <c r="D25" s="6">
        <v>230.5</v>
      </c>
      <c r="E25" s="6">
        <v>59.1</v>
      </c>
      <c r="F25" s="5">
        <v>157.84224</v>
      </c>
      <c r="G25" s="5">
        <f>F25-L24</f>
        <v>157.84224</v>
      </c>
      <c r="H25" s="5">
        <f t="shared" si="0"/>
        <v>-72.65776</v>
      </c>
      <c r="I25" s="6">
        <f t="shared" si="1"/>
        <v>68.47819522776572</v>
      </c>
      <c r="J25" s="2"/>
      <c r="L25" s="37"/>
    </row>
    <row r="26" spans="1:12" ht="21.75" customHeight="1">
      <c r="A26" s="17" t="s">
        <v>361</v>
      </c>
      <c r="B26" s="64" t="s">
        <v>360</v>
      </c>
      <c r="C26" s="74" t="s">
        <v>395</v>
      </c>
      <c r="D26" s="6">
        <f>3224.958+6</f>
        <v>3230.958</v>
      </c>
      <c r="E26" s="6">
        <v>1069.7</v>
      </c>
      <c r="F26" s="5">
        <v>1884.31314</v>
      </c>
      <c r="G26" s="5">
        <f>F26-L25</f>
        <v>1884.31314</v>
      </c>
      <c r="H26" s="5">
        <f t="shared" si="0"/>
        <v>-1346.64486</v>
      </c>
      <c r="I26" s="6">
        <f t="shared" si="1"/>
        <v>58.320570555234696</v>
      </c>
      <c r="J26" s="2"/>
      <c r="L26" s="37"/>
    </row>
    <row r="27" spans="1:12" ht="19.5" customHeight="1" hidden="1">
      <c r="A27" s="17" t="s">
        <v>361</v>
      </c>
      <c r="B27" s="64" t="s">
        <v>360</v>
      </c>
      <c r="C27" s="74" t="s">
        <v>388</v>
      </c>
      <c r="D27" s="6"/>
      <c r="E27" s="6"/>
      <c r="F27" s="5"/>
      <c r="G27" s="5">
        <f>F27-L26</f>
        <v>0</v>
      </c>
      <c r="H27" s="5">
        <f t="shared" si="0"/>
        <v>0</v>
      </c>
      <c r="I27" s="6"/>
      <c r="J27" s="2"/>
      <c r="L27" s="37"/>
    </row>
    <row r="28" spans="1:12" ht="15.75">
      <c r="A28" s="17" t="s">
        <v>362</v>
      </c>
      <c r="B28" s="64" t="s">
        <v>363</v>
      </c>
      <c r="C28" s="74" t="s">
        <v>100</v>
      </c>
      <c r="D28" s="5">
        <f>SUM(D29:D35)</f>
        <v>3897.4714599999998</v>
      </c>
      <c r="E28" s="5">
        <f>SUM(E29:E35)</f>
        <v>1553.8000000000002</v>
      </c>
      <c r="F28" s="5">
        <f>SUM(F29:F35)</f>
        <v>2156.7722799999997</v>
      </c>
      <c r="G28" s="5">
        <f>SUM(G29:G35)</f>
        <v>2156.7722799999997</v>
      </c>
      <c r="H28" s="5">
        <f t="shared" si="0"/>
        <v>-1740.69918</v>
      </c>
      <c r="I28" s="6">
        <f aca="true" t="shared" si="2" ref="I28:I34">F28/D28*100</f>
        <v>55.33773119662562</v>
      </c>
      <c r="J28" s="2"/>
      <c r="L28" s="37"/>
    </row>
    <row r="29" spans="1:12" ht="24" customHeight="1">
      <c r="A29" s="17" t="s">
        <v>362</v>
      </c>
      <c r="B29" s="48" t="s">
        <v>375</v>
      </c>
      <c r="C29" s="18" t="s">
        <v>396</v>
      </c>
      <c r="D29" s="1">
        <f>630.073-5+1.5</f>
        <v>626.573</v>
      </c>
      <c r="E29" s="1">
        <v>171.2</v>
      </c>
      <c r="F29" s="4">
        <v>377.17921</v>
      </c>
      <c r="G29" s="5">
        <f aca="true" t="shared" si="3" ref="G29:G35">F29-L28</f>
        <v>377.17921</v>
      </c>
      <c r="H29" s="4">
        <f t="shared" si="0"/>
        <v>-249.39378999999997</v>
      </c>
      <c r="I29" s="1">
        <f t="shared" si="2"/>
        <v>60.19716936414432</v>
      </c>
      <c r="J29" s="2"/>
      <c r="L29" s="37"/>
    </row>
    <row r="30" spans="1:12" ht="15.75">
      <c r="A30" s="17" t="s">
        <v>362</v>
      </c>
      <c r="B30" s="48" t="s">
        <v>376</v>
      </c>
      <c r="C30" s="18" t="s">
        <v>397</v>
      </c>
      <c r="D30" s="1">
        <f>1105.39375+3.4</f>
        <v>1108.79375</v>
      </c>
      <c r="E30" s="1">
        <v>275.5</v>
      </c>
      <c r="F30" s="4">
        <v>635.06653</v>
      </c>
      <c r="G30" s="5">
        <f t="shared" si="3"/>
        <v>635.06653</v>
      </c>
      <c r="H30" s="4">
        <f t="shared" si="0"/>
        <v>-473.7272200000001</v>
      </c>
      <c r="I30" s="1">
        <f t="shared" si="2"/>
        <v>57.2754427953801</v>
      </c>
      <c r="J30" s="2"/>
      <c r="L30" s="37"/>
    </row>
    <row r="31" spans="1:12" ht="33" customHeight="1">
      <c r="A31" s="17" t="s">
        <v>362</v>
      </c>
      <c r="B31" s="48" t="s">
        <v>377</v>
      </c>
      <c r="C31" s="18" t="s">
        <v>398</v>
      </c>
      <c r="D31" s="1">
        <v>821.70071</v>
      </c>
      <c r="E31" s="1">
        <v>185</v>
      </c>
      <c r="F31" s="4">
        <v>471.04987</v>
      </c>
      <c r="G31" s="5">
        <f t="shared" si="3"/>
        <v>471.04987</v>
      </c>
      <c r="H31" s="4">
        <f t="shared" si="0"/>
        <v>-350.65083999999996</v>
      </c>
      <c r="I31" s="1">
        <f t="shared" si="2"/>
        <v>57.32620944187817</v>
      </c>
      <c r="J31" s="2"/>
      <c r="L31" s="37"/>
    </row>
    <row r="32" spans="1:12" ht="18.75" customHeight="1">
      <c r="A32" s="17" t="s">
        <v>362</v>
      </c>
      <c r="B32" s="48" t="s">
        <v>372</v>
      </c>
      <c r="C32" s="18" t="s">
        <v>399</v>
      </c>
      <c r="D32" s="1">
        <v>1046.053</v>
      </c>
      <c r="E32" s="1">
        <v>439.2</v>
      </c>
      <c r="F32" s="4">
        <v>626.05431</v>
      </c>
      <c r="G32" s="5">
        <f t="shared" si="3"/>
        <v>626.05431</v>
      </c>
      <c r="H32" s="4">
        <f t="shared" si="0"/>
        <v>-419.9986900000001</v>
      </c>
      <c r="I32" s="1">
        <f t="shared" si="2"/>
        <v>59.849195977641656</v>
      </c>
      <c r="J32" s="2"/>
      <c r="L32" s="37"/>
    </row>
    <row r="33" spans="1:12" ht="35.25" customHeight="1">
      <c r="A33" s="17" t="s">
        <v>362</v>
      </c>
      <c r="B33" s="48" t="s">
        <v>434</v>
      </c>
      <c r="C33" s="18" t="s">
        <v>128</v>
      </c>
      <c r="D33" s="1">
        <f>233.111+54</f>
        <v>287.111</v>
      </c>
      <c r="E33" s="1">
        <v>76</v>
      </c>
      <c r="F33" s="4">
        <v>46.32236</v>
      </c>
      <c r="G33" s="5">
        <f t="shared" si="3"/>
        <v>46.32236</v>
      </c>
      <c r="H33" s="4">
        <f t="shared" si="0"/>
        <v>-240.78864</v>
      </c>
      <c r="I33" s="1">
        <f t="shared" si="2"/>
        <v>16.133955160199367</v>
      </c>
      <c r="J33" s="2"/>
      <c r="L33" s="37"/>
    </row>
    <row r="34" spans="1:12" ht="30" customHeight="1">
      <c r="A34" s="19" t="s">
        <v>362</v>
      </c>
      <c r="B34" s="49" t="s">
        <v>422</v>
      </c>
      <c r="C34" s="7" t="s">
        <v>423</v>
      </c>
      <c r="D34" s="1">
        <v>7.24</v>
      </c>
      <c r="E34" s="1">
        <v>4</v>
      </c>
      <c r="F34" s="4">
        <v>1.1</v>
      </c>
      <c r="G34" s="5">
        <f t="shared" si="3"/>
        <v>1.1</v>
      </c>
      <c r="H34" s="4">
        <f t="shared" si="0"/>
        <v>-6.140000000000001</v>
      </c>
      <c r="I34" s="1">
        <f t="shared" si="2"/>
        <v>15.193370165745856</v>
      </c>
      <c r="J34" s="2"/>
      <c r="L34" s="37"/>
    </row>
    <row r="35" spans="1:12" ht="1.5" customHeight="1" hidden="1">
      <c r="A35" s="19" t="s">
        <v>362</v>
      </c>
      <c r="B35" s="49" t="s">
        <v>430</v>
      </c>
      <c r="C35" s="18" t="s">
        <v>460</v>
      </c>
      <c r="D35" s="1"/>
      <c r="E35" s="1">
        <v>402.9</v>
      </c>
      <c r="F35" s="4"/>
      <c r="G35" s="5">
        <f t="shared" si="3"/>
        <v>0</v>
      </c>
      <c r="H35" s="4"/>
      <c r="I35" s="1"/>
      <c r="J35" s="2"/>
      <c r="K35" s="2"/>
      <c r="L35" s="2"/>
    </row>
    <row r="36" spans="1:12" ht="15.75" hidden="1">
      <c r="A36" s="17" t="s">
        <v>400</v>
      </c>
      <c r="B36" s="48" t="s">
        <v>299</v>
      </c>
      <c r="C36" s="18" t="s">
        <v>401</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345</v>
      </c>
      <c r="B37" s="48" t="s">
        <v>346</v>
      </c>
      <c r="C37" s="7" t="s">
        <v>426</v>
      </c>
      <c r="D37" s="1"/>
      <c r="E37" s="1"/>
      <c r="F37" s="4"/>
      <c r="G37" s="5">
        <f>F37-L36</f>
        <v>0</v>
      </c>
      <c r="H37" s="4">
        <f t="shared" si="4"/>
        <v>0</v>
      </c>
      <c r="I37" s="1" t="e">
        <f t="shared" si="5"/>
        <v>#DIV/0!</v>
      </c>
      <c r="J37" s="2"/>
      <c r="L37" s="2"/>
    </row>
    <row r="38" spans="1:12" ht="33.75" customHeight="1">
      <c r="A38" s="17" t="s">
        <v>402</v>
      </c>
      <c r="B38" s="64" t="s">
        <v>300</v>
      </c>
      <c r="C38" s="55" t="s">
        <v>101</v>
      </c>
      <c r="D38" s="6">
        <f>D39+D52+D90+D92+D103+D109+D60+D91</f>
        <v>36660.604640000005</v>
      </c>
      <c r="E38" s="6">
        <f>E39+E52+E90+E92+E103+E109+E60+E91</f>
        <v>5469.299999999999</v>
      </c>
      <c r="F38" s="6">
        <f>F39+F52+F60+F90+F91+F92+F103+F109</f>
        <v>19528.065249999996</v>
      </c>
      <c r="G38" s="6" t="e">
        <f>G39+G52+G61+G62+#REF!+G83+G86+G89+G90+G92+G103+G110</f>
        <v>#REF!</v>
      </c>
      <c r="H38" s="5">
        <f t="shared" si="4"/>
        <v>-17132.53939000001</v>
      </c>
      <c r="I38" s="6">
        <f t="shared" si="5"/>
        <v>53.26716632680173</v>
      </c>
      <c r="J38" s="2"/>
      <c r="L38" s="2"/>
    </row>
    <row r="39" spans="1:12" ht="31.5">
      <c r="A39" s="17"/>
      <c r="B39" s="79" t="s">
        <v>440</v>
      </c>
      <c r="C39" s="74" t="s">
        <v>102</v>
      </c>
      <c r="D39" s="6">
        <f>SUM(D40:D51)</f>
        <v>3646.1180000000004</v>
      </c>
      <c r="E39" s="6">
        <f>SUM(E40:E51)</f>
        <v>1141.1</v>
      </c>
      <c r="F39" s="6">
        <f>SUM(F40:F51)</f>
        <v>1536.6895399999999</v>
      </c>
      <c r="G39" s="6">
        <f>SUM(G40:G50)</f>
        <v>1440.73481</v>
      </c>
      <c r="H39" s="5">
        <f t="shared" si="4"/>
        <v>-2109.4284600000005</v>
      </c>
      <c r="I39" s="6">
        <f t="shared" si="5"/>
        <v>42.145908058927326</v>
      </c>
      <c r="J39" s="2"/>
      <c r="L39" s="37"/>
    </row>
    <row r="40" spans="1:12" ht="78.75">
      <c r="A40" s="17" t="s">
        <v>301</v>
      </c>
      <c r="B40" s="64" t="s">
        <v>302</v>
      </c>
      <c r="C40" s="83" t="s">
        <v>239</v>
      </c>
      <c r="D40" s="6">
        <v>1600</v>
      </c>
      <c r="E40" s="6">
        <v>482.5</v>
      </c>
      <c r="F40" s="5">
        <v>608.76379</v>
      </c>
      <c r="G40" s="5">
        <f aca="true" t="shared" si="6" ref="G40:G50">F40-L39</f>
        <v>608.76379</v>
      </c>
      <c r="H40" s="5">
        <f t="shared" si="4"/>
        <v>-991.23621</v>
      </c>
      <c r="I40" s="6">
        <f t="shared" si="5"/>
        <v>38.047736875</v>
      </c>
      <c r="J40" s="2"/>
      <c r="L40" s="37"/>
    </row>
    <row r="41" spans="1:12" ht="78.75">
      <c r="A41" s="17" t="s">
        <v>301</v>
      </c>
      <c r="B41" s="64" t="s">
        <v>348</v>
      </c>
      <c r="C41" s="82" t="s">
        <v>239</v>
      </c>
      <c r="D41" s="6">
        <f>2+0.518</f>
        <v>2.518</v>
      </c>
      <c r="E41" s="6">
        <v>10.7</v>
      </c>
      <c r="F41" s="5">
        <v>0.56167</v>
      </c>
      <c r="G41" s="5">
        <f t="shared" si="6"/>
        <v>0.56167</v>
      </c>
      <c r="H41" s="5">
        <f t="shared" si="4"/>
        <v>-1.95633</v>
      </c>
      <c r="I41" s="6">
        <f t="shared" si="5"/>
        <v>22.306195393169183</v>
      </c>
      <c r="J41" s="2"/>
      <c r="L41" s="37"/>
    </row>
    <row r="42" spans="1:12" ht="78.75">
      <c r="A42" s="17" t="s">
        <v>301</v>
      </c>
      <c r="B42" s="64" t="s">
        <v>349</v>
      </c>
      <c r="C42" s="82" t="s">
        <v>240</v>
      </c>
      <c r="D42" s="6">
        <v>16</v>
      </c>
      <c r="E42" s="6">
        <v>105.6</v>
      </c>
      <c r="F42" s="5">
        <v>3.34</v>
      </c>
      <c r="G42" s="5">
        <f t="shared" si="6"/>
        <v>3.34</v>
      </c>
      <c r="H42" s="5">
        <f t="shared" si="4"/>
        <v>-12.66</v>
      </c>
      <c r="I42" s="6">
        <f t="shared" si="5"/>
        <v>20.875</v>
      </c>
      <c r="J42" s="2"/>
      <c r="L42" s="37"/>
    </row>
    <row r="43" spans="1:12" ht="78.75">
      <c r="A43" s="17" t="s">
        <v>301</v>
      </c>
      <c r="B43" s="64" t="s">
        <v>350</v>
      </c>
      <c r="C43" s="84" t="s">
        <v>241</v>
      </c>
      <c r="D43" s="6">
        <v>396.8</v>
      </c>
      <c r="E43" s="6">
        <v>108.4</v>
      </c>
      <c r="F43" s="5">
        <v>176.52621</v>
      </c>
      <c r="G43" s="5">
        <f t="shared" si="6"/>
        <v>176.52621</v>
      </c>
      <c r="H43" s="5">
        <f t="shared" si="4"/>
        <v>-220.27379000000002</v>
      </c>
      <c r="I43" s="6">
        <f t="shared" si="5"/>
        <v>44.487452116935486</v>
      </c>
      <c r="J43" s="2"/>
      <c r="L43" s="37"/>
    </row>
    <row r="44" spans="1:12" ht="67.5" customHeight="1" hidden="1">
      <c r="A44" s="17" t="s">
        <v>301</v>
      </c>
      <c r="B44" s="64" t="s">
        <v>429</v>
      </c>
      <c r="C44" s="81" t="s">
        <v>11</v>
      </c>
      <c r="D44" s="6">
        <v>0</v>
      </c>
      <c r="E44" s="6">
        <v>0.2</v>
      </c>
      <c r="F44" s="5">
        <v>0</v>
      </c>
      <c r="G44" s="5">
        <f t="shared" si="6"/>
        <v>0</v>
      </c>
      <c r="H44" s="5">
        <f t="shared" si="4"/>
        <v>0</v>
      </c>
      <c r="I44" s="6" t="e">
        <f t="shared" si="5"/>
        <v>#DIV/0!</v>
      </c>
      <c r="J44" s="2"/>
      <c r="L44" s="37"/>
    </row>
    <row r="45" spans="1:12" ht="0.75" customHeight="1" hidden="1">
      <c r="A45" s="17" t="s">
        <v>301</v>
      </c>
      <c r="B45" s="64" t="s">
        <v>387</v>
      </c>
      <c r="C45" s="63" t="s">
        <v>6</v>
      </c>
      <c r="D45" s="6"/>
      <c r="E45" s="6">
        <v>5</v>
      </c>
      <c r="F45" s="5"/>
      <c r="G45" s="5">
        <f t="shared" si="6"/>
        <v>0</v>
      </c>
      <c r="H45" s="5">
        <f t="shared" si="4"/>
        <v>0</v>
      </c>
      <c r="I45" s="6" t="e">
        <f t="shared" si="5"/>
        <v>#DIV/0!</v>
      </c>
      <c r="J45" s="2"/>
      <c r="L45" s="37"/>
    </row>
    <row r="46" spans="1:12" ht="77.25" customHeight="1">
      <c r="A46" s="17" t="s">
        <v>326</v>
      </c>
      <c r="B46" s="64" t="s">
        <v>368</v>
      </c>
      <c r="C46" s="83" t="s">
        <v>142</v>
      </c>
      <c r="D46" s="6">
        <v>1000</v>
      </c>
      <c r="E46" s="6">
        <v>286.4</v>
      </c>
      <c r="F46" s="5">
        <v>436.28986</v>
      </c>
      <c r="G46" s="5">
        <f t="shared" si="6"/>
        <v>436.28986</v>
      </c>
      <c r="H46" s="5">
        <f t="shared" si="4"/>
        <v>-563.71014</v>
      </c>
      <c r="I46" s="6">
        <f t="shared" si="5"/>
        <v>43.628986</v>
      </c>
      <c r="J46" s="2"/>
      <c r="L46" s="37"/>
    </row>
    <row r="47" spans="1:12" ht="73.5" customHeight="1">
      <c r="A47" s="17" t="s">
        <v>326</v>
      </c>
      <c r="B47" s="64" t="s">
        <v>433</v>
      </c>
      <c r="C47" s="82" t="s">
        <v>143</v>
      </c>
      <c r="D47" s="6">
        <v>0.5</v>
      </c>
      <c r="E47" s="6">
        <v>0.3</v>
      </c>
      <c r="F47" s="5">
        <v>0</v>
      </c>
      <c r="G47" s="5">
        <f t="shared" si="6"/>
        <v>0</v>
      </c>
      <c r="H47" s="5">
        <f t="shared" si="4"/>
        <v>-0.5</v>
      </c>
      <c r="I47" s="6">
        <f t="shared" si="5"/>
        <v>0</v>
      </c>
      <c r="J47" s="2"/>
      <c r="L47" s="37"/>
    </row>
    <row r="48" spans="1:12" ht="60" customHeight="1">
      <c r="A48" s="17" t="s">
        <v>326</v>
      </c>
      <c r="B48" s="64" t="s">
        <v>369</v>
      </c>
      <c r="C48" s="82" t="s">
        <v>144</v>
      </c>
      <c r="D48" s="6">
        <v>30</v>
      </c>
      <c r="E48" s="6">
        <v>56.5</v>
      </c>
      <c r="F48" s="5">
        <v>10.58203</v>
      </c>
      <c r="G48" s="5">
        <f t="shared" si="6"/>
        <v>10.58203</v>
      </c>
      <c r="H48" s="5">
        <f t="shared" si="4"/>
        <v>-19.41797</v>
      </c>
      <c r="I48" s="6">
        <f t="shared" si="5"/>
        <v>35.27343333333333</v>
      </c>
      <c r="J48" s="2"/>
      <c r="L48" s="37"/>
    </row>
    <row r="49" spans="1:12" ht="48.75" customHeight="1">
      <c r="A49" s="17" t="s">
        <v>326</v>
      </c>
      <c r="B49" s="64" t="s">
        <v>439</v>
      </c>
      <c r="C49" s="82" t="s">
        <v>145</v>
      </c>
      <c r="D49" s="6">
        <v>165.3</v>
      </c>
      <c r="E49" s="6">
        <v>50.6</v>
      </c>
      <c r="F49" s="5">
        <v>96.62053</v>
      </c>
      <c r="G49" s="5">
        <f t="shared" si="6"/>
        <v>96.62053</v>
      </c>
      <c r="H49" s="5">
        <f t="shared" si="4"/>
        <v>-68.67947000000001</v>
      </c>
      <c r="I49" s="6">
        <f t="shared" si="5"/>
        <v>58.451621294615855</v>
      </c>
      <c r="J49" s="2"/>
      <c r="L49" s="37"/>
    </row>
    <row r="50" spans="1:12" ht="31.5">
      <c r="A50" s="17" t="s">
        <v>326</v>
      </c>
      <c r="B50" s="64" t="s">
        <v>459</v>
      </c>
      <c r="C50" s="82" t="s">
        <v>146</v>
      </c>
      <c r="D50" s="6">
        <v>215</v>
      </c>
      <c r="E50" s="6">
        <v>34.9</v>
      </c>
      <c r="F50" s="5">
        <v>108.05072</v>
      </c>
      <c r="G50" s="5">
        <f t="shared" si="6"/>
        <v>108.05072</v>
      </c>
      <c r="H50" s="5">
        <f t="shared" si="4"/>
        <v>-106.94928</v>
      </c>
      <c r="I50" s="6">
        <f t="shared" si="5"/>
        <v>50.2561488372093</v>
      </c>
      <c r="J50" s="2"/>
      <c r="K50" s="2"/>
      <c r="L50" s="2"/>
    </row>
    <row r="51" spans="1:12" ht="18.75" customHeight="1">
      <c r="A51" s="17" t="s">
        <v>326</v>
      </c>
      <c r="B51" s="64" t="s">
        <v>14</v>
      </c>
      <c r="C51" s="83" t="s">
        <v>147</v>
      </c>
      <c r="D51" s="6">
        <v>220</v>
      </c>
      <c r="E51" s="6"/>
      <c r="F51" s="5">
        <v>95.95473</v>
      </c>
      <c r="G51" s="5"/>
      <c r="H51" s="5">
        <f t="shared" si="4"/>
        <v>-124.04527</v>
      </c>
      <c r="I51" s="6">
        <f t="shared" si="5"/>
        <v>43.61578636363636</v>
      </c>
      <c r="J51" s="2"/>
      <c r="K51" s="2"/>
      <c r="L51" s="2"/>
    </row>
    <row r="52" spans="1:12" ht="31.5">
      <c r="A52" s="17"/>
      <c r="B52" s="79" t="s">
        <v>441</v>
      </c>
      <c r="C52" s="63" t="s">
        <v>103</v>
      </c>
      <c r="D52" s="6">
        <f>SUM(D53:D59)</f>
        <v>24840.733000000004</v>
      </c>
      <c r="E52" s="6">
        <f>SUM(E53:E59)</f>
        <v>1842.6999999999998</v>
      </c>
      <c r="F52" s="6">
        <f>SUM(F53:F59)</f>
        <v>13475.98028</v>
      </c>
      <c r="G52" s="6">
        <f>SUM(G53:G57)</f>
        <v>13158.05091</v>
      </c>
      <c r="H52" s="5">
        <f t="shared" si="4"/>
        <v>-11364.752720000004</v>
      </c>
      <c r="I52" s="6">
        <f t="shared" si="5"/>
        <v>54.24952749985275</v>
      </c>
      <c r="J52" s="2"/>
      <c r="L52" s="38"/>
    </row>
    <row r="53" spans="1:12" ht="19.5" customHeight="1">
      <c r="A53" s="17" t="s">
        <v>304</v>
      </c>
      <c r="B53" s="64" t="s">
        <v>351</v>
      </c>
      <c r="C53" s="55" t="s">
        <v>148</v>
      </c>
      <c r="D53" s="6">
        <v>300</v>
      </c>
      <c r="E53" s="6">
        <v>73.9</v>
      </c>
      <c r="F53" s="5">
        <v>171.77434</v>
      </c>
      <c r="G53" s="5">
        <f aca="true" t="shared" si="7" ref="G53:G58">F53-L52</f>
        <v>171.77434</v>
      </c>
      <c r="H53" s="5">
        <f t="shared" si="4"/>
        <v>-128.22566</v>
      </c>
      <c r="I53" s="6">
        <f t="shared" si="5"/>
        <v>57.25811333333333</v>
      </c>
      <c r="J53" s="2"/>
      <c r="L53" s="37"/>
    </row>
    <row r="54" spans="1:12" ht="19.5" customHeight="1">
      <c r="A54" s="17" t="s">
        <v>304</v>
      </c>
      <c r="B54" s="64" t="s">
        <v>352</v>
      </c>
      <c r="C54" s="55" t="s">
        <v>149</v>
      </c>
      <c r="D54" s="6">
        <v>4320</v>
      </c>
      <c r="E54" s="6">
        <v>616.3</v>
      </c>
      <c r="F54" s="5">
        <v>2383.65518</v>
      </c>
      <c r="G54" s="5">
        <f t="shared" si="7"/>
        <v>2383.65518</v>
      </c>
      <c r="H54" s="5">
        <f t="shared" si="4"/>
        <v>-1936.3448199999998</v>
      </c>
      <c r="I54" s="6">
        <f t="shared" si="5"/>
        <v>55.177203240740745</v>
      </c>
      <c r="J54" s="2"/>
      <c r="L54" s="37"/>
    </row>
    <row r="55" spans="1:12" ht="18.75" customHeight="1">
      <c r="A55" s="17" t="s">
        <v>304</v>
      </c>
      <c r="B55" s="64" t="s">
        <v>353</v>
      </c>
      <c r="C55" s="55" t="s">
        <v>150</v>
      </c>
      <c r="D55" s="6">
        <v>15447.722</v>
      </c>
      <c r="E55" s="6">
        <v>640.5</v>
      </c>
      <c r="F55" s="5">
        <v>8252.28308</v>
      </c>
      <c r="G55" s="5">
        <f t="shared" si="7"/>
        <v>8252.28308</v>
      </c>
      <c r="H55" s="5">
        <f t="shared" si="4"/>
        <v>-7195.4389200000005</v>
      </c>
      <c r="I55" s="6">
        <f t="shared" si="5"/>
        <v>53.420711998830626</v>
      </c>
      <c r="J55" s="2"/>
      <c r="L55" s="37"/>
    </row>
    <row r="56" spans="1:12" ht="31.5">
      <c r="A56" s="17" t="s">
        <v>304</v>
      </c>
      <c r="B56" s="64" t="s">
        <v>354</v>
      </c>
      <c r="C56" s="55" t="s">
        <v>151</v>
      </c>
      <c r="D56" s="6">
        <v>1800</v>
      </c>
      <c r="E56" s="6">
        <v>137.2</v>
      </c>
      <c r="F56" s="5">
        <v>940.28425</v>
      </c>
      <c r="G56" s="5">
        <f t="shared" si="7"/>
        <v>940.28425</v>
      </c>
      <c r="H56" s="5">
        <f t="shared" si="4"/>
        <v>-859.71575</v>
      </c>
      <c r="I56" s="6">
        <f t="shared" si="5"/>
        <v>52.23801388888889</v>
      </c>
      <c r="J56" s="2"/>
      <c r="L56" s="37"/>
    </row>
    <row r="57" spans="1:12" ht="18.75" customHeight="1">
      <c r="A57" s="17" t="s">
        <v>304</v>
      </c>
      <c r="B57" s="64" t="s">
        <v>355</v>
      </c>
      <c r="C57" s="55" t="s">
        <v>152</v>
      </c>
      <c r="D57" s="6">
        <v>2400</v>
      </c>
      <c r="E57" s="6">
        <v>336.9</v>
      </c>
      <c r="F57" s="5">
        <v>1410.05406</v>
      </c>
      <c r="G57" s="5">
        <f t="shared" si="7"/>
        <v>1410.05406</v>
      </c>
      <c r="H57" s="5">
        <f t="shared" si="4"/>
        <v>-989.9459400000001</v>
      </c>
      <c r="I57" s="6">
        <f t="shared" si="5"/>
        <v>58.752252500000004</v>
      </c>
      <c r="J57" s="2"/>
      <c r="L57" s="37"/>
    </row>
    <row r="58" spans="1:12" ht="20.25" customHeight="1">
      <c r="A58" s="17" t="s">
        <v>304</v>
      </c>
      <c r="B58" s="64" t="s">
        <v>436</v>
      </c>
      <c r="C58" s="55" t="s">
        <v>153</v>
      </c>
      <c r="D58" s="6">
        <v>530.9</v>
      </c>
      <c r="E58" s="6">
        <v>37.9</v>
      </c>
      <c r="F58" s="5">
        <v>284.96518</v>
      </c>
      <c r="G58" s="5">
        <f t="shared" si="7"/>
        <v>284.96518</v>
      </c>
      <c r="H58" s="5">
        <f t="shared" si="4"/>
        <v>-245.93482</v>
      </c>
      <c r="I58" s="6">
        <f t="shared" si="5"/>
        <v>53.67586739498964</v>
      </c>
      <c r="J58" s="2"/>
      <c r="L58" s="37"/>
    </row>
    <row r="59" spans="1:12" ht="17.25" customHeight="1">
      <c r="A59" s="17" t="s">
        <v>304</v>
      </c>
      <c r="B59" s="64" t="s">
        <v>13</v>
      </c>
      <c r="C59" s="55" t="s">
        <v>154</v>
      </c>
      <c r="D59" s="6">
        <v>42.111</v>
      </c>
      <c r="E59" s="6"/>
      <c r="F59" s="5">
        <v>32.96419</v>
      </c>
      <c r="G59" s="5"/>
      <c r="H59" s="5">
        <f t="shared" si="4"/>
        <v>-9.146809999999995</v>
      </c>
      <c r="I59" s="6">
        <f t="shared" si="5"/>
        <v>78.27928569732376</v>
      </c>
      <c r="J59" s="2"/>
      <c r="L59" s="37"/>
    </row>
    <row r="60" spans="1:12" ht="18" customHeight="1">
      <c r="A60" s="17"/>
      <c r="B60" s="64" t="s">
        <v>461</v>
      </c>
      <c r="C60" s="63" t="s">
        <v>104</v>
      </c>
      <c r="D60" s="6">
        <f>D61+D62+D64+D83+D86+D89+D66+D87+D88+D65+D81+D63+D82+D84+D85</f>
        <v>2622.86442</v>
      </c>
      <c r="E60" s="6">
        <f>E61+E62+E64+E83+E86+E89+E66+E87+E88+E65+E81+E63+E82+E84+E85</f>
        <v>949.1999999999999</v>
      </c>
      <c r="F60" s="6">
        <f>F61+F62+F64+F83+F86+F89+F66+F87+F88+F65+F81+F63+F82+F84+F85</f>
        <v>1524.98234</v>
      </c>
      <c r="G60" s="6">
        <f>G61+G62+G64+G83+G86+G89+G66+G87+G88+G65+G81</f>
        <v>1402.08961</v>
      </c>
      <c r="H60" s="5">
        <f t="shared" si="4"/>
        <v>-1097.8820799999999</v>
      </c>
      <c r="I60" s="6">
        <f t="shared" si="5"/>
        <v>58.1418668983279</v>
      </c>
      <c r="J60" s="2"/>
      <c r="L60" s="37"/>
    </row>
    <row r="61" spans="1:12" ht="30.75" customHeight="1">
      <c r="A61" s="17" t="s">
        <v>304</v>
      </c>
      <c r="B61" s="64" t="s">
        <v>305</v>
      </c>
      <c r="C61" s="55" t="s">
        <v>155</v>
      </c>
      <c r="D61" s="6">
        <v>794.867</v>
      </c>
      <c r="E61" s="6">
        <v>256.9</v>
      </c>
      <c r="F61" s="5">
        <v>651.00238</v>
      </c>
      <c r="G61" s="5">
        <f>F61-L60</f>
        <v>651.00238</v>
      </c>
      <c r="H61" s="5">
        <f t="shared" si="4"/>
        <v>-143.86461999999995</v>
      </c>
      <c r="I61" s="6">
        <f t="shared" si="5"/>
        <v>81.90079346607672</v>
      </c>
      <c r="J61" s="2"/>
      <c r="L61" s="37"/>
    </row>
    <row r="62" spans="1:12" ht="48" customHeight="1">
      <c r="A62" s="17" t="s">
        <v>303</v>
      </c>
      <c r="B62" s="64" t="s">
        <v>336</v>
      </c>
      <c r="C62" s="55" t="s">
        <v>156</v>
      </c>
      <c r="D62" s="6">
        <v>520</v>
      </c>
      <c r="E62" s="6">
        <v>28.4</v>
      </c>
      <c r="F62" s="5">
        <v>255.15835</v>
      </c>
      <c r="G62" s="5">
        <f>F62-L61</f>
        <v>255.15835</v>
      </c>
      <c r="H62" s="5">
        <f t="shared" si="4"/>
        <v>-264.84164999999996</v>
      </c>
      <c r="I62" s="6">
        <f t="shared" si="5"/>
        <v>49.068913461538465</v>
      </c>
      <c r="J62" s="2"/>
      <c r="L62" s="2"/>
    </row>
    <row r="63" spans="1:12" ht="47.25">
      <c r="A63" s="17"/>
      <c r="B63" s="64" t="s">
        <v>41</v>
      </c>
      <c r="C63" s="55" t="s">
        <v>157</v>
      </c>
      <c r="D63" s="6">
        <f>0.6-0.518</f>
        <v>0.08199999999999996</v>
      </c>
      <c r="E63" s="6"/>
      <c r="F63" s="6">
        <v>0</v>
      </c>
      <c r="G63" s="5"/>
      <c r="H63" s="5">
        <f t="shared" si="4"/>
        <v>-0.08199999999999996</v>
      </c>
      <c r="I63" s="6">
        <f t="shared" si="5"/>
        <v>0</v>
      </c>
      <c r="J63" s="2"/>
      <c r="L63" s="2"/>
    </row>
    <row r="64" spans="1:12" ht="34.5" customHeight="1">
      <c r="A64" s="17" t="s">
        <v>308</v>
      </c>
      <c r="B64" s="64" t="s">
        <v>309</v>
      </c>
      <c r="C64" s="74" t="s">
        <v>158</v>
      </c>
      <c r="D64" s="6">
        <f>969.13942-1.525</f>
        <v>967.61442</v>
      </c>
      <c r="E64" s="6">
        <v>605.1</v>
      </c>
      <c r="F64" s="6">
        <v>396.32751</v>
      </c>
      <c r="G64" s="5">
        <f>F64-L63</f>
        <v>396.32751</v>
      </c>
      <c r="H64" s="5">
        <f t="shared" si="4"/>
        <v>-571.28691</v>
      </c>
      <c r="I64" s="6">
        <f t="shared" si="5"/>
        <v>40.95923973518295</v>
      </c>
      <c r="J64" s="2"/>
      <c r="L64" s="39"/>
    </row>
    <row r="65" spans="1:12" ht="31.5">
      <c r="A65" s="17" t="s">
        <v>308</v>
      </c>
      <c r="B65" s="64" t="s">
        <v>309</v>
      </c>
      <c r="C65" s="74" t="s">
        <v>159</v>
      </c>
      <c r="D65" s="6">
        <v>37.486</v>
      </c>
      <c r="E65" s="6"/>
      <c r="F65" s="6">
        <v>35.2854</v>
      </c>
      <c r="G65" s="5"/>
      <c r="H65" s="5">
        <f t="shared" si="4"/>
        <v>-2.2005999999999943</v>
      </c>
      <c r="I65" s="6">
        <f t="shared" si="5"/>
        <v>94.12954169556636</v>
      </c>
      <c r="J65" s="2"/>
      <c r="L65" s="39"/>
    </row>
    <row r="66" spans="1:12" ht="33" customHeight="1">
      <c r="A66" s="17" t="s">
        <v>308</v>
      </c>
      <c r="B66" s="64" t="s">
        <v>309</v>
      </c>
      <c r="C66" s="74" t="s">
        <v>160</v>
      </c>
      <c r="D66" s="6">
        <v>90</v>
      </c>
      <c r="E66" s="6">
        <v>13</v>
      </c>
      <c r="F66" s="5">
        <v>44.65853</v>
      </c>
      <c r="G66" s="5">
        <f>F66-L64</f>
        <v>44.65853</v>
      </c>
      <c r="H66" s="5">
        <f t="shared" si="4"/>
        <v>-45.34147</v>
      </c>
      <c r="I66" s="6">
        <f t="shared" si="5"/>
        <v>49.62058888888889</v>
      </c>
      <c r="J66" s="2"/>
      <c r="L66" s="39"/>
    </row>
    <row r="67" spans="1:12" ht="30" customHeight="1" hidden="1">
      <c r="A67" s="17" t="s">
        <v>308</v>
      </c>
      <c r="B67" s="64" t="s">
        <v>309</v>
      </c>
      <c r="C67" s="74" t="s">
        <v>77</v>
      </c>
      <c r="D67" s="6"/>
      <c r="E67" s="6">
        <v>13</v>
      </c>
      <c r="F67" s="5"/>
      <c r="G67" s="5">
        <f aca="true" t="shared" si="8" ref="G67:G80">F67-L66</f>
        <v>0</v>
      </c>
      <c r="H67" s="5">
        <f t="shared" si="4"/>
        <v>0</v>
      </c>
      <c r="I67" s="6" t="e">
        <f t="shared" si="5"/>
        <v>#DIV/0!</v>
      </c>
      <c r="J67" s="2"/>
      <c r="L67" s="39"/>
    </row>
    <row r="68" spans="1:12" ht="30.75" customHeight="1" hidden="1">
      <c r="A68" s="17" t="s">
        <v>308</v>
      </c>
      <c r="B68" s="64" t="s">
        <v>309</v>
      </c>
      <c r="C68" s="74" t="s">
        <v>410</v>
      </c>
      <c r="D68" s="6"/>
      <c r="E68" s="6">
        <v>5</v>
      </c>
      <c r="F68" s="5"/>
      <c r="G68" s="5">
        <f t="shared" si="8"/>
        <v>0</v>
      </c>
      <c r="H68" s="5">
        <f aca="true" t="shared" si="9" ref="H68:H91">F68-D68</f>
        <v>0</v>
      </c>
      <c r="I68" s="6" t="e">
        <f aca="true" t="shared" si="10" ref="I68:I101">F68/D68*100</f>
        <v>#DIV/0!</v>
      </c>
      <c r="J68" s="2"/>
      <c r="L68" s="39"/>
    </row>
    <row r="69" spans="1:12" ht="31.5" customHeight="1" hidden="1">
      <c r="A69" s="17" t="s">
        <v>308</v>
      </c>
      <c r="B69" s="64" t="s">
        <v>309</v>
      </c>
      <c r="C69" s="74" t="s">
        <v>386</v>
      </c>
      <c r="D69" s="6"/>
      <c r="E69" s="6">
        <v>3</v>
      </c>
      <c r="F69" s="5"/>
      <c r="G69" s="5">
        <f t="shared" si="8"/>
        <v>0</v>
      </c>
      <c r="H69" s="5">
        <f t="shared" si="9"/>
        <v>0</v>
      </c>
      <c r="I69" s="6" t="e">
        <f t="shared" si="10"/>
        <v>#DIV/0!</v>
      </c>
      <c r="J69" s="2"/>
      <c r="L69" s="39"/>
    </row>
    <row r="70" spans="1:12" ht="33" customHeight="1" hidden="1">
      <c r="A70" s="17" t="s">
        <v>308</v>
      </c>
      <c r="B70" s="64" t="s">
        <v>309</v>
      </c>
      <c r="C70" s="74" t="s">
        <v>381</v>
      </c>
      <c r="D70" s="6"/>
      <c r="E70" s="6">
        <v>5</v>
      </c>
      <c r="F70" s="5"/>
      <c r="G70" s="5">
        <f t="shared" si="8"/>
        <v>0</v>
      </c>
      <c r="H70" s="5">
        <f t="shared" si="9"/>
        <v>0</v>
      </c>
      <c r="I70" s="6" t="e">
        <f t="shared" si="10"/>
        <v>#DIV/0!</v>
      </c>
      <c r="J70" s="2"/>
      <c r="L70" s="39"/>
    </row>
    <row r="71" spans="1:12" ht="29.25" customHeight="1" hidden="1">
      <c r="A71" s="17" t="s">
        <v>308</v>
      </c>
      <c r="B71" s="64" t="s">
        <v>309</v>
      </c>
      <c r="C71" s="74" t="s">
        <v>403</v>
      </c>
      <c r="D71" s="6"/>
      <c r="E71" s="6">
        <v>5</v>
      </c>
      <c r="F71" s="5"/>
      <c r="G71" s="5">
        <f t="shared" si="8"/>
        <v>0</v>
      </c>
      <c r="H71" s="5">
        <f t="shared" si="9"/>
        <v>0</v>
      </c>
      <c r="I71" s="6" t="e">
        <f t="shared" si="10"/>
        <v>#DIV/0!</v>
      </c>
      <c r="J71" s="2"/>
      <c r="L71" s="39"/>
    </row>
    <row r="72" spans="1:12" ht="31.5" customHeight="1" hidden="1">
      <c r="A72" s="17" t="s">
        <v>308</v>
      </c>
      <c r="B72" s="64" t="s">
        <v>309</v>
      </c>
      <c r="C72" s="74" t="s">
        <v>379</v>
      </c>
      <c r="D72" s="6"/>
      <c r="E72" s="6">
        <v>45</v>
      </c>
      <c r="F72" s="5"/>
      <c r="G72" s="5">
        <f t="shared" si="8"/>
        <v>0</v>
      </c>
      <c r="H72" s="5">
        <f t="shared" si="9"/>
        <v>0</v>
      </c>
      <c r="I72" s="6" t="e">
        <f t="shared" si="10"/>
        <v>#DIV/0!</v>
      </c>
      <c r="J72" s="2"/>
      <c r="L72" s="39"/>
    </row>
    <row r="73" spans="1:12" ht="30" customHeight="1" hidden="1">
      <c r="A73" s="17" t="s">
        <v>308</v>
      </c>
      <c r="B73" s="64" t="s">
        <v>309</v>
      </c>
      <c r="C73" s="74" t="s">
        <v>390</v>
      </c>
      <c r="D73" s="6"/>
      <c r="E73" s="6">
        <v>36</v>
      </c>
      <c r="F73" s="5"/>
      <c r="G73" s="5">
        <f t="shared" si="8"/>
        <v>0</v>
      </c>
      <c r="H73" s="5">
        <f t="shared" si="9"/>
        <v>0</v>
      </c>
      <c r="I73" s="6" t="e">
        <f t="shared" si="10"/>
        <v>#DIV/0!</v>
      </c>
      <c r="J73" s="2"/>
      <c r="L73" s="39"/>
    </row>
    <row r="74" spans="1:12" ht="33.75" customHeight="1" hidden="1">
      <c r="A74" s="17" t="s">
        <v>308</v>
      </c>
      <c r="B74" s="64" t="s">
        <v>309</v>
      </c>
      <c r="C74" s="74" t="s">
        <v>380</v>
      </c>
      <c r="D74" s="6"/>
      <c r="E74" s="6">
        <v>4.5</v>
      </c>
      <c r="F74" s="5"/>
      <c r="G74" s="5">
        <f t="shared" si="8"/>
        <v>0</v>
      </c>
      <c r="H74" s="5">
        <f t="shared" si="9"/>
        <v>0</v>
      </c>
      <c r="I74" s="6" t="e">
        <f t="shared" si="10"/>
        <v>#DIV/0!</v>
      </c>
      <c r="J74" s="2"/>
      <c r="L74" s="39"/>
    </row>
    <row r="75" spans="1:12" ht="33" customHeight="1" hidden="1">
      <c r="A75" s="17" t="s">
        <v>308</v>
      </c>
      <c r="B75" s="64" t="s">
        <v>309</v>
      </c>
      <c r="C75" s="63" t="s">
        <v>411</v>
      </c>
      <c r="D75" s="6"/>
      <c r="E75" s="6">
        <v>6</v>
      </c>
      <c r="F75" s="5"/>
      <c r="G75" s="5">
        <f t="shared" si="8"/>
        <v>0</v>
      </c>
      <c r="H75" s="5">
        <f t="shared" si="9"/>
        <v>0</v>
      </c>
      <c r="I75" s="6" t="e">
        <f t="shared" si="10"/>
        <v>#DIV/0!</v>
      </c>
      <c r="J75" s="2"/>
      <c r="L75" s="39"/>
    </row>
    <row r="76" spans="1:12" ht="33.75" customHeight="1" hidden="1">
      <c r="A76" s="17" t="s">
        <v>308</v>
      </c>
      <c r="B76" s="64" t="s">
        <v>309</v>
      </c>
      <c r="C76" s="74" t="s">
        <v>378</v>
      </c>
      <c r="D76" s="6"/>
      <c r="E76" s="6">
        <v>15</v>
      </c>
      <c r="F76" s="5"/>
      <c r="G76" s="5">
        <f t="shared" si="8"/>
        <v>0</v>
      </c>
      <c r="H76" s="5">
        <f t="shared" si="9"/>
        <v>0</v>
      </c>
      <c r="I76" s="6" t="e">
        <f t="shared" si="10"/>
        <v>#DIV/0!</v>
      </c>
      <c r="J76" s="2"/>
      <c r="L76" s="39"/>
    </row>
    <row r="77" spans="1:12" ht="36.75" customHeight="1" hidden="1">
      <c r="A77" s="17" t="s">
        <v>308</v>
      </c>
      <c r="B77" s="64" t="s">
        <v>309</v>
      </c>
      <c r="C77" s="74" t="s">
        <v>408</v>
      </c>
      <c r="D77" s="6"/>
      <c r="E77" s="6">
        <v>70</v>
      </c>
      <c r="F77" s="5"/>
      <c r="G77" s="5">
        <f t="shared" si="8"/>
        <v>0</v>
      </c>
      <c r="H77" s="5">
        <f t="shared" si="9"/>
        <v>0</v>
      </c>
      <c r="I77" s="6" t="e">
        <f t="shared" si="10"/>
        <v>#DIV/0!</v>
      </c>
      <c r="J77" s="2"/>
      <c r="L77" s="39"/>
    </row>
    <row r="78" spans="1:12" ht="39" customHeight="1" hidden="1">
      <c r="A78" s="17" t="s">
        <v>308</v>
      </c>
      <c r="B78" s="64" t="s">
        <v>309</v>
      </c>
      <c r="C78" s="74" t="s">
        <v>407</v>
      </c>
      <c r="D78" s="6"/>
      <c r="E78" s="6">
        <v>40</v>
      </c>
      <c r="F78" s="5"/>
      <c r="G78" s="5">
        <f t="shared" si="8"/>
        <v>0</v>
      </c>
      <c r="H78" s="5">
        <f t="shared" si="9"/>
        <v>0</v>
      </c>
      <c r="I78" s="6" t="e">
        <f t="shared" si="10"/>
        <v>#DIV/0!</v>
      </c>
      <c r="J78" s="2"/>
      <c r="L78" s="39"/>
    </row>
    <row r="79" spans="1:12" ht="42.75" customHeight="1" hidden="1">
      <c r="A79" s="17" t="s">
        <v>308</v>
      </c>
      <c r="B79" s="64" t="s">
        <v>309</v>
      </c>
      <c r="C79" s="74" t="s">
        <v>385</v>
      </c>
      <c r="D79" s="6"/>
      <c r="E79" s="6">
        <v>6</v>
      </c>
      <c r="F79" s="5"/>
      <c r="G79" s="5">
        <f t="shared" si="8"/>
        <v>0</v>
      </c>
      <c r="H79" s="5">
        <f t="shared" si="9"/>
        <v>0</v>
      </c>
      <c r="I79" s="6" t="e">
        <f t="shared" si="10"/>
        <v>#DIV/0!</v>
      </c>
      <c r="J79" s="2"/>
      <c r="L79" s="39"/>
    </row>
    <row r="80" spans="1:12" ht="44.25" customHeight="1" hidden="1">
      <c r="A80" s="17" t="s">
        <v>308</v>
      </c>
      <c r="B80" s="64" t="s">
        <v>309</v>
      </c>
      <c r="C80" s="63" t="s">
        <v>409</v>
      </c>
      <c r="D80" s="6"/>
      <c r="E80" s="6">
        <v>20</v>
      </c>
      <c r="F80" s="5"/>
      <c r="G80" s="5">
        <f t="shared" si="8"/>
        <v>0</v>
      </c>
      <c r="H80" s="5">
        <f t="shared" si="9"/>
        <v>0</v>
      </c>
      <c r="I80" s="6" t="e">
        <f t="shared" si="10"/>
        <v>#DIV/0!</v>
      </c>
      <c r="J80" s="2"/>
      <c r="L80" s="37"/>
    </row>
    <row r="81" spans="1:12" ht="47.25">
      <c r="A81" s="17"/>
      <c r="B81" s="64" t="s">
        <v>18</v>
      </c>
      <c r="C81" s="63" t="s">
        <v>61</v>
      </c>
      <c r="D81" s="6">
        <f>20-14+1.525</f>
        <v>7.525</v>
      </c>
      <c r="E81" s="6"/>
      <c r="F81" s="5">
        <v>7.00791</v>
      </c>
      <c r="G81" s="5"/>
      <c r="H81" s="5">
        <f t="shared" si="9"/>
        <v>-0.5170900000000005</v>
      </c>
      <c r="I81" s="6">
        <f t="shared" si="10"/>
        <v>93.12837209302324</v>
      </c>
      <c r="J81" s="2"/>
      <c r="L81" s="37"/>
    </row>
    <row r="82" spans="1:12" ht="46.5" customHeight="1">
      <c r="A82" s="17"/>
      <c r="B82" s="64" t="s">
        <v>18</v>
      </c>
      <c r="C82" s="63" t="s">
        <v>162</v>
      </c>
      <c r="D82" s="6">
        <f>10+14</f>
        <v>24</v>
      </c>
      <c r="E82" s="6"/>
      <c r="F82" s="5">
        <v>14</v>
      </c>
      <c r="G82" s="5"/>
      <c r="H82" s="5">
        <f t="shared" si="9"/>
        <v>-10</v>
      </c>
      <c r="I82" s="6">
        <f t="shared" si="10"/>
        <v>58.333333333333336</v>
      </c>
      <c r="J82" s="2"/>
      <c r="L82" s="37"/>
    </row>
    <row r="83" spans="1:12" ht="31.5" hidden="1">
      <c r="A83" s="17" t="s">
        <v>306</v>
      </c>
      <c r="B83" s="64" t="s">
        <v>307</v>
      </c>
      <c r="C83" s="74" t="s">
        <v>468</v>
      </c>
      <c r="D83" s="6">
        <v>0</v>
      </c>
      <c r="E83" s="6">
        <v>2.4</v>
      </c>
      <c r="F83" s="5"/>
      <c r="G83" s="5">
        <f>F83-L80</f>
        <v>0</v>
      </c>
      <c r="H83" s="5">
        <f t="shared" si="9"/>
        <v>0</v>
      </c>
      <c r="I83" s="6" t="e">
        <f t="shared" si="10"/>
        <v>#DIV/0!</v>
      </c>
      <c r="J83" s="2"/>
      <c r="L83" s="37"/>
    </row>
    <row r="84" spans="1:12" ht="47.25" hidden="1">
      <c r="A84" s="17"/>
      <c r="B84" s="64" t="s">
        <v>18</v>
      </c>
      <c r="C84" s="74" t="s">
        <v>163</v>
      </c>
      <c r="D84" s="6">
        <v>0</v>
      </c>
      <c r="E84" s="6"/>
      <c r="F84" s="5"/>
      <c r="G84" s="5"/>
      <c r="H84" s="5">
        <f t="shared" si="9"/>
        <v>0</v>
      </c>
      <c r="I84" s="6" t="e">
        <f t="shared" si="10"/>
        <v>#DIV/0!</v>
      </c>
      <c r="J84" s="2"/>
      <c r="L84" s="37"/>
    </row>
    <row r="85" spans="1:12" ht="31.5">
      <c r="A85" s="17"/>
      <c r="B85" s="64" t="s">
        <v>85</v>
      </c>
      <c r="C85" s="74" t="s">
        <v>164</v>
      </c>
      <c r="D85" s="6">
        <v>51.1</v>
      </c>
      <c r="E85" s="6"/>
      <c r="F85" s="5">
        <v>50.15942</v>
      </c>
      <c r="G85" s="5"/>
      <c r="H85" s="5">
        <f t="shared" si="9"/>
        <v>-0.9405800000000042</v>
      </c>
      <c r="I85" s="6">
        <f t="shared" si="10"/>
        <v>98.15933463796476</v>
      </c>
      <c r="J85" s="2"/>
      <c r="L85" s="37"/>
    </row>
    <row r="86" spans="1:12" ht="31.5">
      <c r="A86" s="17" t="s">
        <v>308</v>
      </c>
      <c r="B86" s="64" t="s">
        <v>337</v>
      </c>
      <c r="C86" s="74" t="s">
        <v>26</v>
      </c>
      <c r="D86" s="6">
        <v>86.65</v>
      </c>
      <c r="E86" s="6">
        <v>38.3</v>
      </c>
      <c r="F86" s="5">
        <v>48.7782</v>
      </c>
      <c r="G86" s="5">
        <f>F86-L83</f>
        <v>48.7782</v>
      </c>
      <c r="H86" s="5">
        <f t="shared" si="9"/>
        <v>-37.87180000000001</v>
      </c>
      <c r="I86" s="6">
        <f t="shared" si="10"/>
        <v>56.29336410848239</v>
      </c>
      <c r="J86" s="2"/>
      <c r="L86" s="37"/>
    </row>
    <row r="87" spans="1:12" ht="63" hidden="1">
      <c r="A87" s="17"/>
      <c r="B87" s="64" t="s">
        <v>337</v>
      </c>
      <c r="C87" s="74" t="s">
        <v>8</v>
      </c>
      <c r="D87" s="6">
        <v>0</v>
      </c>
      <c r="E87" s="6"/>
      <c r="F87" s="5"/>
      <c r="G87" s="5"/>
      <c r="H87" s="5">
        <f t="shared" si="9"/>
        <v>0</v>
      </c>
      <c r="I87" s="6" t="e">
        <f t="shared" si="10"/>
        <v>#DIV/0!</v>
      </c>
      <c r="J87" s="2"/>
      <c r="L87" s="37"/>
    </row>
    <row r="88" spans="1:12" ht="31.5">
      <c r="A88" s="17" t="s">
        <v>308</v>
      </c>
      <c r="B88" s="64" t="s">
        <v>337</v>
      </c>
      <c r="C88" s="74" t="s">
        <v>165</v>
      </c>
      <c r="D88" s="6">
        <v>24.24</v>
      </c>
      <c r="E88" s="6"/>
      <c r="F88" s="5">
        <v>16.44</v>
      </c>
      <c r="G88" s="5"/>
      <c r="H88" s="5">
        <f t="shared" si="9"/>
        <v>-7.799999999999997</v>
      </c>
      <c r="I88" s="6">
        <f t="shared" si="10"/>
        <v>67.82178217821783</v>
      </c>
      <c r="J88" s="2"/>
      <c r="L88" s="37"/>
    </row>
    <row r="89" spans="1:12" ht="33.75" customHeight="1">
      <c r="A89" s="17" t="s">
        <v>308</v>
      </c>
      <c r="B89" s="72" t="s">
        <v>412</v>
      </c>
      <c r="C89" s="63" t="s">
        <v>166</v>
      </c>
      <c r="D89" s="6">
        <v>19.3</v>
      </c>
      <c r="E89" s="6">
        <v>5.1</v>
      </c>
      <c r="F89" s="5">
        <v>6.16464</v>
      </c>
      <c r="G89" s="5">
        <f>F89-L86</f>
        <v>6.16464</v>
      </c>
      <c r="H89" s="5">
        <f t="shared" si="9"/>
        <v>-13.13536</v>
      </c>
      <c r="I89" s="6">
        <f t="shared" si="10"/>
        <v>31.941139896373056</v>
      </c>
      <c r="J89" s="2"/>
      <c r="L89" s="37"/>
    </row>
    <row r="90" spans="1:12" ht="67.5" customHeight="1" hidden="1">
      <c r="A90" s="19" t="s">
        <v>304</v>
      </c>
      <c r="B90" s="72" t="s">
        <v>19</v>
      </c>
      <c r="C90" s="55" t="s">
        <v>31</v>
      </c>
      <c r="D90" s="6">
        <v>0</v>
      </c>
      <c r="E90" s="6">
        <v>301.4</v>
      </c>
      <c r="F90" s="5">
        <v>0</v>
      </c>
      <c r="G90" s="5">
        <f>F90-L89</f>
        <v>0</v>
      </c>
      <c r="H90" s="5">
        <f t="shared" si="9"/>
        <v>0</v>
      </c>
      <c r="I90" s="6" t="e">
        <f t="shared" si="10"/>
        <v>#DIV/0!</v>
      </c>
      <c r="J90" s="2"/>
      <c r="L90" s="2"/>
    </row>
    <row r="91" spans="1:12" ht="68.25" customHeight="1" hidden="1">
      <c r="A91" s="19" t="s">
        <v>304</v>
      </c>
      <c r="B91" s="72" t="s">
        <v>19</v>
      </c>
      <c r="C91" s="55" t="s">
        <v>105</v>
      </c>
      <c r="D91" s="6"/>
      <c r="E91" s="6"/>
      <c r="F91" s="5"/>
      <c r="G91" s="5"/>
      <c r="H91" s="5">
        <f t="shared" si="9"/>
        <v>0</v>
      </c>
      <c r="I91" s="6" t="e">
        <f t="shared" si="10"/>
        <v>#DIV/0!</v>
      </c>
      <c r="J91" s="2"/>
      <c r="L91" s="2"/>
    </row>
    <row r="92" spans="1:12" ht="15.75">
      <c r="A92" s="17" t="s">
        <v>304</v>
      </c>
      <c r="B92" s="79" t="s">
        <v>442</v>
      </c>
      <c r="C92" s="74" t="s">
        <v>443</v>
      </c>
      <c r="D92" s="6">
        <f>SUM(D93:D102)</f>
        <v>688.0050000000001</v>
      </c>
      <c r="E92" s="6">
        <f>SUM(E93:E102)</f>
        <v>163.6</v>
      </c>
      <c r="F92" s="6">
        <f>SUM(F93:F102)</f>
        <v>361.7640800000001</v>
      </c>
      <c r="G92" s="6">
        <f>SUM(G93:G102)</f>
        <v>174.64213</v>
      </c>
      <c r="H92" s="6">
        <f>SUM(H93:H102)</f>
        <v>-326.24091999999996</v>
      </c>
      <c r="I92" s="6">
        <f t="shared" si="10"/>
        <v>52.58160623832676</v>
      </c>
      <c r="J92" s="2"/>
      <c r="L92" s="37"/>
    </row>
    <row r="93" spans="1:12" ht="33" customHeight="1">
      <c r="A93" s="17" t="s">
        <v>304</v>
      </c>
      <c r="B93" s="48" t="s">
        <v>365</v>
      </c>
      <c r="C93" s="18" t="s">
        <v>32</v>
      </c>
      <c r="D93" s="1">
        <v>331.091</v>
      </c>
      <c r="E93" s="1">
        <v>124.6</v>
      </c>
      <c r="F93" s="4">
        <v>174.64213</v>
      </c>
      <c r="G93" s="5">
        <f>F93-L92</f>
        <v>174.64213</v>
      </c>
      <c r="H93" s="4">
        <f aca="true" t="shared" si="11" ref="H93:H101">F93-D93</f>
        <v>-156.44887</v>
      </c>
      <c r="I93" s="1">
        <f t="shared" si="10"/>
        <v>52.747471239024925</v>
      </c>
      <c r="J93" s="2"/>
      <c r="L93" s="37"/>
    </row>
    <row r="94" spans="1:12" ht="47.25" hidden="1">
      <c r="A94" s="17" t="s">
        <v>304</v>
      </c>
      <c r="B94" s="48" t="s">
        <v>344</v>
      </c>
      <c r="C94" s="18" t="s">
        <v>12</v>
      </c>
      <c r="D94" s="1">
        <v>0</v>
      </c>
      <c r="E94" s="1">
        <v>22</v>
      </c>
      <c r="F94" s="4"/>
      <c r="G94" s="5">
        <f>F94-L93</f>
        <v>0</v>
      </c>
      <c r="H94" s="4">
        <f t="shared" si="11"/>
        <v>0</v>
      </c>
      <c r="I94" s="1" t="e">
        <f t="shared" si="10"/>
        <v>#DIV/0!</v>
      </c>
      <c r="J94" s="2"/>
      <c r="L94" s="37"/>
    </row>
    <row r="95" spans="1:12" ht="0.75" customHeight="1" hidden="1">
      <c r="A95" s="17" t="s">
        <v>304</v>
      </c>
      <c r="B95" s="48" t="s">
        <v>366</v>
      </c>
      <c r="C95" s="18" t="s">
        <v>12</v>
      </c>
      <c r="D95" s="1">
        <v>0</v>
      </c>
      <c r="E95" s="1">
        <v>17</v>
      </c>
      <c r="F95" s="4"/>
      <c r="G95" s="5">
        <f>F95-L94</f>
        <v>0</v>
      </c>
      <c r="H95" s="4">
        <f t="shared" si="11"/>
        <v>0</v>
      </c>
      <c r="I95" s="1" t="e">
        <f t="shared" si="10"/>
        <v>#DIV/0!</v>
      </c>
      <c r="J95" s="2"/>
      <c r="L95" s="2"/>
    </row>
    <row r="96" spans="1:12" ht="65.25" customHeight="1">
      <c r="A96" s="17"/>
      <c r="B96" s="48" t="s">
        <v>365</v>
      </c>
      <c r="C96" s="18" t="s">
        <v>167</v>
      </c>
      <c r="D96" s="1">
        <v>287.3</v>
      </c>
      <c r="E96" s="1"/>
      <c r="F96" s="4">
        <v>158.10219</v>
      </c>
      <c r="G96" s="5"/>
      <c r="H96" s="4">
        <f t="shared" si="11"/>
        <v>-129.19781</v>
      </c>
      <c r="I96" s="1">
        <f t="shared" si="10"/>
        <v>55.03034806822137</v>
      </c>
      <c r="J96" s="2"/>
      <c r="L96" s="2"/>
    </row>
    <row r="97" spans="1:12" ht="44.25" customHeight="1">
      <c r="A97" s="17"/>
      <c r="B97" s="48" t="s">
        <v>366</v>
      </c>
      <c r="C97" s="18" t="s">
        <v>168</v>
      </c>
      <c r="D97" s="1">
        <v>5.48</v>
      </c>
      <c r="E97" s="1"/>
      <c r="F97" s="5">
        <v>2.458</v>
      </c>
      <c r="G97" s="5"/>
      <c r="H97" s="4">
        <f t="shared" si="11"/>
        <v>-3.0220000000000002</v>
      </c>
      <c r="I97" s="1">
        <f t="shared" si="10"/>
        <v>44.85401459854015</v>
      </c>
      <c r="J97" s="2"/>
      <c r="L97" s="2"/>
    </row>
    <row r="98" spans="1:12" ht="49.5" customHeight="1">
      <c r="A98" s="17"/>
      <c r="B98" s="48" t="s">
        <v>366</v>
      </c>
      <c r="C98" s="18" t="s">
        <v>168</v>
      </c>
      <c r="D98" s="1">
        <v>24.7</v>
      </c>
      <c r="E98" s="1"/>
      <c r="F98" s="5">
        <v>1.60636</v>
      </c>
      <c r="G98" s="5"/>
      <c r="H98" s="4">
        <f t="shared" si="11"/>
        <v>-23.09364</v>
      </c>
      <c r="I98" s="1">
        <f t="shared" si="10"/>
        <v>6.503481781376519</v>
      </c>
      <c r="J98" s="2"/>
      <c r="L98" s="2"/>
    </row>
    <row r="99" spans="1:12" ht="48.75" customHeight="1">
      <c r="A99" s="17" t="s">
        <v>304</v>
      </c>
      <c r="B99" s="48" t="s">
        <v>366</v>
      </c>
      <c r="C99" s="7" t="s">
        <v>169</v>
      </c>
      <c r="D99" s="1">
        <v>35</v>
      </c>
      <c r="E99" s="1"/>
      <c r="F99" s="5">
        <v>24.5214</v>
      </c>
      <c r="G99" s="5"/>
      <c r="H99" s="4">
        <f t="shared" si="11"/>
        <v>-10.4786</v>
      </c>
      <c r="I99" s="1">
        <f t="shared" si="10"/>
        <v>70.06114285714285</v>
      </c>
      <c r="J99" s="2"/>
      <c r="L99" s="2"/>
    </row>
    <row r="100" spans="1:12" ht="64.5" customHeight="1">
      <c r="A100" s="17"/>
      <c r="B100" s="48" t="s">
        <v>78</v>
      </c>
      <c r="C100" s="7" t="s">
        <v>170</v>
      </c>
      <c r="D100" s="1">
        <v>0.434</v>
      </c>
      <c r="E100" s="1"/>
      <c r="F100" s="4">
        <v>0.434</v>
      </c>
      <c r="G100" s="5"/>
      <c r="H100" s="4">
        <f t="shared" si="11"/>
        <v>0</v>
      </c>
      <c r="I100" s="1">
        <f t="shared" si="10"/>
        <v>100</v>
      </c>
      <c r="J100" s="2"/>
      <c r="L100" s="2"/>
    </row>
    <row r="101" spans="1:12" ht="50.25" customHeight="1">
      <c r="A101" s="17"/>
      <c r="B101" s="48" t="s">
        <v>78</v>
      </c>
      <c r="C101" s="7" t="s">
        <v>182</v>
      </c>
      <c r="D101" s="1">
        <v>4</v>
      </c>
      <c r="E101" s="1"/>
      <c r="F101" s="4">
        <v>0</v>
      </c>
      <c r="G101" s="5"/>
      <c r="H101" s="4">
        <f t="shared" si="11"/>
        <v>-4</v>
      </c>
      <c r="I101" s="1">
        <f t="shared" si="10"/>
        <v>0</v>
      </c>
      <c r="J101" s="2"/>
      <c r="L101" s="2"/>
    </row>
    <row r="102" spans="1:12" ht="50.25" customHeight="1" hidden="1">
      <c r="A102" s="17"/>
      <c r="B102" s="48" t="s">
        <v>25</v>
      </c>
      <c r="C102" s="18" t="s">
        <v>33</v>
      </c>
      <c r="D102" s="1"/>
      <c r="E102" s="1"/>
      <c r="F102" s="4"/>
      <c r="G102" s="5"/>
      <c r="H102" s="4"/>
      <c r="I102" s="1"/>
      <c r="J102" s="2"/>
      <c r="L102" s="2"/>
    </row>
    <row r="103" spans="1:12" ht="15.75">
      <c r="A103" s="17"/>
      <c r="B103" s="64" t="s">
        <v>310</v>
      </c>
      <c r="C103" s="74" t="s">
        <v>106</v>
      </c>
      <c r="D103" s="6">
        <f>SUM(D104:D108)</f>
        <v>1899.8842200000001</v>
      </c>
      <c r="E103" s="6">
        <f>SUM(E104:E108)</f>
        <v>661.9</v>
      </c>
      <c r="F103" s="6">
        <f>SUM(F104:F108)</f>
        <v>997.97628</v>
      </c>
      <c r="G103" s="6">
        <f>SUM(G104:G108)</f>
        <v>949.97583</v>
      </c>
      <c r="H103" s="5">
        <f aca="true" t="shared" si="12" ref="H103:H135">F103-D103</f>
        <v>-901.9079400000002</v>
      </c>
      <c r="I103" s="6">
        <f aca="true" t="shared" si="13" ref="I103:I135">F103/D103*100</f>
        <v>52.528268275211</v>
      </c>
      <c r="J103" s="2"/>
      <c r="L103" s="2"/>
    </row>
    <row r="104" spans="1:12" ht="65.25" customHeight="1">
      <c r="A104" s="17" t="s">
        <v>311</v>
      </c>
      <c r="B104" s="48" t="s">
        <v>312</v>
      </c>
      <c r="C104" s="18" t="s">
        <v>34</v>
      </c>
      <c r="D104" s="1">
        <v>1625.51422</v>
      </c>
      <c r="E104" s="1">
        <v>392.3</v>
      </c>
      <c r="F104" s="1">
        <v>880.00848</v>
      </c>
      <c r="G104" s="5">
        <f>F104-L103</f>
        <v>880.00848</v>
      </c>
      <c r="H104" s="4">
        <f t="shared" si="12"/>
        <v>-745.5057400000001</v>
      </c>
      <c r="I104" s="1">
        <f t="shared" si="13"/>
        <v>54.137236646259545</v>
      </c>
      <c r="J104" s="2"/>
      <c r="L104" s="37"/>
    </row>
    <row r="105" spans="1:12" ht="79.5" customHeight="1">
      <c r="A105" s="17" t="s">
        <v>311</v>
      </c>
      <c r="B105" s="48" t="s">
        <v>20</v>
      </c>
      <c r="C105" s="7" t="s">
        <v>272</v>
      </c>
      <c r="D105" s="1">
        <v>140</v>
      </c>
      <c r="E105" s="1"/>
      <c r="F105" s="1">
        <v>48.00045</v>
      </c>
      <c r="G105" s="5"/>
      <c r="H105" s="4">
        <f t="shared" si="12"/>
        <v>-91.99955</v>
      </c>
      <c r="I105" s="1">
        <f t="shared" si="13"/>
        <v>34.28603571428572</v>
      </c>
      <c r="J105" s="2"/>
      <c r="L105" s="37"/>
    </row>
    <row r="106" spans="1:12" ht="48" customHeight="1">
      <c r="A106" s="17" t="s">
        <v>303</v>
      </c>
      <c r="B106" s="48" t="s">
        <v>313</v>
      </c>
      <c r="C106" s="7" t="s">
        <v>173</v>
      </c>
      <c r="D106" s="1">
        <f>34.14-2</f>
        <v>32.14</v>
      </c>
      <c r="E106" s="1">
        <v>3.4</v>
      </c>
      <c r="F106" s="4">
        <v>13.92118</v>
      </c>
      <c r="G106" s="5">
        <f>F106-L104</f>
        <v>13.92118</v>
      </c>
      <c r="H106" s="4">
        <f t="shared" si="12"/>
        <v>-18.21882</v>
      </c>
      <c r="I106" s="1">
        <f t="shared" si="13"/>
        <v>43.31418792781581</v>
      </c>
      <c r="J106" s="2"/>
      <c r="L106" s="2"/>
    </row>
    <row r="107" spans="1:12" ht="79.5" customHeight="1">
      <c r="A107" s="17" t="s">
        <v>301</v>
      </c>
      <c r="B107" s="48" t="s">
        <v>314</v>
      </c>
      <c r="C107" s="3" t="s">
        <v>174</v>
      </c>
      <c r="D107" s="1">
        <f>100.23+2</f>
        <v>102.23</v>
      </c>
      <c r="E107" s="1">
        <v>32.8</v>
      </c>
      <c r="F107" s="1">
        <v>56.04617</v>
      </c>
      <c r="G107" s="5">
        <f>F107-L106</f>
        <v>56.04617</v>
      </c>
      <c r="H107" s="4">
        <f t="shared" si="12"/>
        <v>-46.18383000000001</v>
      </c>
      <c r="I107" s="1">
        <f t="shared" si="13"/>
        <v>54.823603638853555</v>
      </c>
      <c r="J107" s="2"/>
      <c r="L107" s="39"/>
    </row>
    <row r="108" spans="1:12" ht="31.5" hidden="1">
      <c r="A108" s="17" t="s">
        <v>308</v>
      </c>
      <c r="B108" s="48" t="s">
        <v>315</v>
      </c>
      <c r="C108" s="3" t="s">
        <v>469</v>
      </c>
      <c r="D108" s="1">
        <v>0</v>
      </c>
      <c r="E108" s="1">
        <v>233.4</v>
      </c>
      <c r="F108" s="5">
        <v>0</v>
      </c>
      <c r="G108" s="5">
        <f>F108-L107</f>
        <v>0</v>
      </c>
      <c r="H108" s="4">
        <f t="shared" si="12"/>
        <v>0</v>
      </c>
      <c r="I108" s="1" t="e">
        <f t="shared" si="13"/>
        <v>#DIV/0!</v>
      </c>
      <c r="J108" s="2"/>
      <c r="L108" s="39"/>
    </row>
    <row r="109" spans="1:12" ht="15.75">
      <c r="A109" s="17"/>
      <c r="B109" s="64" t="s">
        <v>316</v>
      </c>
      <c r="C109" s="74" t="s">
        <v>443</v>
      </c>
      <c r="D109" s="6">
        <f>D110+D111+D112</f>
        <v>2963</v>
      </c>
      <c r="E109" s="6">
        <f>E110+E111+E112</f>
        <v>409.4</v>
      </c>
      <c r="F109" s="6">
        <f>F110+F111+F112</f>
        <v>1630.67273</v>
      </c>
      <c r="G109" s="85">
        <f>G110+G111+G112</f>
        <v>1628.04167</v>
      </c>
      <c r="H109" s="5">
        <f t="shared" si="12"/>
        <v>-1332.32727</v>
      </c>
      <c r="I109" s="6">
        <f t="shared" si="13"/>
        <v>55.03451670604117</v>
      </c>
      <c r="J109" s="2"/>
      <c r="L109" s="37"/>
    </row>
    <row r="110" spans="1:12" ht="31.5">
      <c r="A110" s="17" t="s">
        <v>306</v>
      </c>
      <c r="B110" s="64" t="s">
        <v>316</v>
      </c>
      <c r="C110" s="74" t="s">
        <v>175</v>
      </c>
      <c r="D110" s="6">
        <v>2955.6</v>
      </c>
      <c r="E110" s="6">
        <v>409.4</v>
      </c>
      <c r="F110" s="5">
        <v>1628.04167</v>
      </c>
      <c r="G110" s="5">
        <f>F110-L109</f>
        <v>1628.04167</v>
      </c>
      <c r="H110" s="5">
        <f t="shared" si="12"/>
        <v>-1327.5583299999998</v>
      </c>
      <c r="I110" s="6">
        <f t="shared" si="13"/>
        <v>55.083288334010014</v>
      </c>
      <c r="J110" s="2"/>
      <c r="L110" s="37"/>
    </row>
    <row r="111" spans="1:12" ht="47.25">
      <c r="A111" s="17"/>
      <c r="B111" s="64" t="s">
        <v>462</v>
      </c>
      <c r="C111" s="74" t="s">
        <v>176</v>
      </c>
      <c r="D111" s="6">
        <v>6.32</v>
      </c>
      <c r="E111" s="6"/>
      <c r="F111" s="5">
        <v>2.63106</v>
      </c>
      <c r="G111" s="5"/>
      <c r="H111" s="5">
        <f t="shared" si="12"/>
        <v>-3.68894</v>
      </c>
      <c r="I111" s="6">
        <f t="shared" si="13"/>
        <v>41.630696202531645</v>
      </c>
      <c r="J111" s="2"/>
      <c r="L111" s="37"/>
    </row>
    <row r="112" spans="1:12" ht="33" customHeight="1">
      <c r="A112" s="17"/>
      <c r="B112" s="64" t="s">
        <v>463</v>
      </c>
      <c r="C112" s="74" t="s">
        <v>177</v>
      </c>
      <c r="D112" s="6">
        <v>1.08</v>
      </c>
      <c r="E112" s="6"/>
      <c r="F112" s="5">
        <v>0</v>
      </c>
      <c r="G112" s="5"/>
      <c r="H112" s="5">
        <f t="shared" si="12"/>
        <v>-1.08</v>
      </c>
      <c r="I112" s="6">
        <f t="shared" si="13"/>
        <v>0</v>
      </c>
      <c r="J112" s="2" t="s">
        <v>373</v>
      </c>
      <c r="L112" s="2"/>
    </row>
    <row r="113" spans="1:12" ht="16.5" customHeight="1">
      <c r="A113" s="19" t="s">
        <v>413</v>
      </c>
      <c r="B113" s="72" t="s">
        <v>317</v>
      </c>
      <c r="C113" s="55" t="s">
        <v>107</v>
      </c>
      <c r="D113" s="6">
        <f>SUM(D114:D120)</f>
        <v>7066.6</v>
      </c>
      <c r="E113" s="6">
        <f>SUM(E114:E119)</f>
        <v>3220.6</v>
      </c>
      <c r="F113" s="6">
        <f>SUM(F114:F119)</f>
        <v>3622.2836</v>
      </c>
      <c r="G113" s="6">
        <f>SUM(G114:G119)</f>
        <v>3622.2836</v>
      </c>
      <c r="H113" s="5">
        <f t="shared" si="12"/>
        <v>-3444.3164</v>
      </c>
      <c r="I113" s="6">
        <f t="shared" si="13"/>
        <v>51.25921376616761</v>
      </c>
      <c r="J113" s="2" t="s">
        <v>374</v>
      </c>
      <c r="L113" s="37"/>
    </row>
    <row r="114" spans="1:12" ht="47.25">
      <c r="A114" s="17" t="s">
        <v>318</v>
      </c>
      <c r="B114" s="64" t="s">
        <v>17</v>
      </c>
      <c r="C114" s="55" t="s">
        <v>178</v>
      </c>
      <c r="D114" s="6">
        <v>258</v>
      </c>
      <c r="E114" s="6">
        <v>768.1</v>
      </c>
      <c r="F114" s="5">
        <v>0</v>
      </c>
      <c r="G114" s="5">
        <f>F114-L113</f>
        <v>0</v>
      </c>
      <c r="H114" s="5">
        <f t="shared" si="12"/>
        <v>-258</v>
      </c>
      <c r="I114" s="6">
        <f t="shared" si="13"/>
        <v>0</v>
      </c>
      <c r="J114" s="2"/>
      <c r="L114" s="37"/>
    </row>
    <row r="115" spans="1:12" ht="48" customHeight="1">
      <c r="A115" s="17" t="s">
        <v>318</v>
      </c>
      <c r="B115" s="64" t="s">
        <v>370</v>
      </c>
      <c r="C115" s="86" t="s">
        <v>219</v>
      </c>
      <c r="D115" s="6">
        <f>1054-400-54</f>
        <v>600</v>
      </c>
      <c r="E115" s="6">
        <v>852.5</v>
      </c>
      <c r="F115" s="5">
        <v>350</v>
      </c>
      <c r="G115" s="5">
        <f>F115-L114</f>
        <v>350</v>
      </c>
      <c r="H115" s="5">
        <f t="shared" si="12"/>
        <v>-250</v>
      </c>
      <c r="I115" s="6">
        <f t="shared" si="13"/>
        <v>58.333333333333336</v>
      </c>
      <c r="J115" s="2"/>
      <c r="L115" s="37"/>
    </row>
    <row r="116" spans="1:12" ht="34.5" customHeight="1">
      <c r="A116" s="17" t="s">
        <v>318</v>
      </c>
      <c r="B116" s="64" t="s">
        <v>40</v>
      </c>
      <c r="C116" s="86" t="s">
        <v>220</v>
      </c>
      <c r="D116" s="6">
        <v>200</v>
      </c>
      <c r="E116" s="6"/>
      <c r="F116" s="5">
        <v>0</v>
      </c>
      <c r="G116" s="5"/>
      <c r="H116" s="5">
        <f t="shared" si="12"/>
        <v>-200</v>
      </c>
      <c r="I116" s="6">
        <f t="shared" si="13"/>
        <v>0</v>
      </c>
      <c r="J116" s="2"/>
      <c r="L116" s="37"/>
    </row>
    <row r="117" spans="1:12" ht="47.25" customHeight="1">
      <c r="A117" s="17" t="s">
        <v>320</v>
      </c>
      <c r="B117" s="64" t="s">
        <v>15</v>
      </c>
      <c r="C117" s="86" t="s">
        <v>221</v>
      </c>
      <c r="D117" s="6">
        <v>98</v>
      </c>
      <c r="E117" s="6">
        <v>0</v>
      </c>
      <c r="F117" s="5">
        <v>98</v>
      </c>
      <c r="G117" s="5">
        <f>F117-L115</f>
        <v>98</v>
      </c>
      <c r="H117" s="5">
        <f t="shared" si="12"/>
        <v>0</v>
      </c>
      <c r="I117" s="6">
        <f t="shared" si="13"/>
        <v>100</v>
      </c>
      <c r="J117" s="2"/>
      <c r="L117" s="37"/>
    </row>
    <row r="118" spans="1:12" ht="18" customHeight="1" hidden="1">
      <c r="A118" s="17"/>
      <c r="B118" s="64" t="s">
        <v>321</v>
      </c>
      <c r="C118" s="63" t="s">
        <v>222</v>
      </c>
      <c r="D118" s="6">
        <v>0</v>
      </c>
      <c r="E118" s="6"/>
      <c r="F118" s="5"/>
      <c r="G118" s="5"/>
      <c r="H118" s="5">
        <f t="shared" si="12"/>
        <v>0</v>
      </c>
      <c r="I118" s="6" t="e">
        <f t="shared" si="13"/>
        <v>#DIV/0!</v>
      </c>
      <c r="J118" s="2"/>
      <c r="L118" s="37"/>
    </row>
    <row r="119" spans="1:12" ht="15.75">
      <c r="A119" s="17" t="s">
        <v>320</v>
      </c>
      <c r="B119" s="64" t="s">
        <v>321</v>
      </c>
      <c r="C119" s="63" t="s">
        <v>384</v>
      </c>
      <c r="D119" s="6">
        <v>5885.6</v>
      </c>
      <c r="E119" s="6">
        <v>1600</v>
      </c>
      <c r="F119" s="5">
        <v>3174.2836</v>
      </c>
      <c r="G119" s="5">
        <f>F119-L117</f>
        <v>3174.2836</v>
      </c>
      <c r="H119" s="5">
        <f t="shared" si="12"/>
        <v>-2711.3164</v>
      </c>
      <c r="I119" s="6">
        <f t="shared" si="13"/>
        <v>53.93305015631371</v>
      </c>
      <c r="J119" s="2"/>
      <c r="L119" s="2"/>
    </row>
    <row r="120" spans="1:12" ht="31.5">
      <c r="A120" s="17"/>
      <c r="B120" s="64" t="s">
        <v>321</v>
      </c>
      <c r="C120" s="63" t="s">
        <v>453</v>
      </c>
      <c r="D120" s="6">
        <v>25</v>
      </c>
      <c r="E120" s="6"/>
      <c r="F120" s="5">
        <v>0</v>
      </c>
      <c r="G120" s="5"/>
      <c r="H120" s="5">
        <f t="shared" si="12"/>
        <v>-25</v>
      </c>
      <c r="I120" s="6">
        <f t="shared" si="13"/>
        <v>0</v>
      </c>
      <c r="J120" s="2"/>
      <c r="L120" s="2"/>
    </row>
    <row r="121" spans="1:12" ht="15.75">
      <c r="A121" s="19" t="s">
        <v>322</v>
      </c>
      <c r="B121" s="72" t="s">
        <v>335</v>
      </c>
      <c r="C121" s="55" t="s">
        <v>109</v>
      </c>
      <c r="D121" s="6">
        <f>SUM(D122:D127)</f>
        <v>3556.8376400000006</v>
      </c>
      <c r="E121" s="6">
        <f>SUM(E122:E127)</f>
        <v>970.5999999999999</v>
      </c>
      <c r="F121" s="6">
        <f>SUM(F122:F127)</f>
        <v>2040.2001299999997</v>
      </c>
      <c r="G121" s="6" t="e">
        <f>SUM(G122:G127)</f>
        <v>#REF!</v>
      </c>
      <c r="H121" s="5">
        <f t="shared" si="12"/>
        <v>-1516.637510000001</v>
      </c>
      <c r="I121" s="6">
        <f t="shared" si="13"/>
        <v>57.359945448620465</v>
      </c>
      <c r="J121" s="2"/>
      <c r="L121" s="37"/>
    </row>
    <row r="122" spans="1:12" ht="15.75">
      <c r="A122" s="17" t="s">
        <v>322</v>
      </c>
      <c r="B122" s="64" t="s">
        <v>444</v>
      </c>
      <c r="C122" s="74" t="s">
        <v>447</v>
      </c>
      <c r="D122" s="6">
        <f>432.13914+3.5</f>
        <v>435.63914</v>
      </c>
      <c r="E122" s="6">
        <v>123.4</v>
      </c>
      <c r="F122" s="5">
        <v>244.43046</v>
      </c>
      <c r="G122" s="5">
        <f>F122-L121</f>
        <v>244.43046</v>
      </c>
      <c r="H122" s="5">
        <f t="shared" si="12"/>
        <v>-191.20868</v>
      </c>
      <c r="I122" s="6">
        <f t="shared" si="13"/>
        <v>56.10847087798402</v>
      </c>
      <c r="J122" s="2"/>
      <c r="L122" s="37"/>
    </row>
    <row r="123" spans="1:12" ht="15.75">
      <c r="A123" s="17" t="s">
        <v>322</v>
      </c>
      <c r="B123" s="64" t="s">
        <v>445</v>
      </c>
      <c r="C123" s="74" t="s">
        <v>449</v>
      </c>
      <c r="D123" s="6">
        <v>279.96924</v>
      </c>
      <c r="E123" s="6">
        <v>86.6</v>
      </c>
      <c r="F123" s="5">
        <v>174.84289</v>
      </c>
      <c r="G123" s="5">
        <f>F123-L122</f>
        <v>174.84289</v>
      </c>
      <c r="H123" s="5">
        <f t="shared" si="12"/>
        <v>-105.12635</v>
      </c>
      <c r="I123" s="6">
        <f t="shared" si="13"/>
        <v>62.450749946672715</v>
      </c>
      <c r="J123" s="2"/>
      <c r="L123" s="37"/>
    </row>
    <row r="124" spans="1:12" ht="18" customHeight="1">
      <c r="A124" s="17" t="s">
        <v>322</v>
      </c>
      <c r="B124" s="64" t="s">
        <v>446</v>
      </c>
      <c r="C124" s="74" t="s">
        <v>448</v>
      </c>
      <c r="D124" s="6">
        <f>2240.05368+14+19.8</f>
        <v>2273.85368</v>
      </c>
      <c r="E124" s="6">
        <v>581.9</v>
      </c>
      <c r="F124" s="5">
        <v>1294.00029</v>
      </c>
      <c r="G124" s="5" t="e">
        <f>F124-#REF!</f>
        <v>#REF!</v>
      </c>
      <c r="H124" s="5">
        <f t="shared" si="12"/>
        <v>-979.8533900000002</v>
      </c>
      <c r="I124" s="6">
        <f t="shared" si="13"/>
        <v>56.907808157647146</v>
      </c>
      <c r="J124" s="2"/>
      <c r="L124" s="37"/>
    </row>
    <row r="125" spans="1:12" ht="63" hidden="1">
      <c r="A125" s="17" t="s">
        <v>361</v>
      </c>
      <c r="B125" s="64" t="s">
        <v>432</v>
      </c>
      <c r="C125" s="74" t="s">
        <v>431</v>
      </c>
      <c r="D125" s="6">
        <v>0</v>
      </c>
      <c r="E125" s="6">
        <v>18.4</v>
      </c>
      <c r="F125" s="5"/>
      <c r="G125" s="5">
        <f>F125-L124</f>
        <v>0</v>
      </c>
      <c r="H125" s="5">
        <f t="shared" si="12"/>
        <v>0</v>
      </c>
      <c r="I125" s="6" t="e">
        <f t="shared" si="13"/>
        <v>#DIV/0!</v>
      </c>
      <c r="J125" s="2"/>
      <c r="L125" s="37"/>
    </row>
    <row r="126" spans="1:12" ht="15.75">
      <c r="A126" s="17" t="s">
        <v>322</v>
      </c>
      <c r="B126" s="64" t="s">
        <v>424</v>
      </c>
      <c r="C126" s="74" t="s">
        <v>397</v>
      </c>
      <c r="D126" s="6">
        <v>234.49958</v>
      </c>
      <c r="E126" s="6">
        <v>60.3</v>
      </c>
      <c r="F126" s="5">
        <v>143.92475</v>
      </c>
      <c r="G126" s="5">
        <f>F126-L125</f>
        <v>143.92475</v>
      </c>
      <c r="H126" s="5">
        <f t="shared" si="12"/>
        <v>-90.57483000000002</v>
      </c>
      <c r="I126" s="6">
        <f t="shared" si="13"/>
        <v>61.37526984056858</v>
      </c>
      <c r="J126" s="2"/>
      <c r="L126" s="37"/>
    </row>
    <row r="127" spans="1:12" ht="50.25" customHeight="1">
      <c r="A127" s="17" t="s">
        <v>425</v>
      </c>
      <c r="B127" s="64" t="s">
        <v>424</v>
      </c>
      <c r="C127" s="74" t="s">
        <v>35</v>
      </c>
      <c r="D127" s="6">
        <f>294.876+38</f>
        <v>332.876</v>
      </c>
      <c r="E127" s="6">
        <v>100</v>
      </c>
      <c r="F127" s="5">
        <v>183.00174</v>
      </c>
      <c r="G127" s="5">
        <f>F127-L126</f>
        <v>183.00174</v>
      </c>
      <c r="H127" s="5">
        <f t="shared" si="12"/>
        <v>-149.87425999999996</v>
      </c>
      <c r="I127" s="6">
        <f t="shared" si="13"/>
        <v>54.97594900203079</v>
      </c>
      <c r="J127" s="2"/>
      <c r="L127" s="2"/>
    </row>
    <row r="128" spans="1:12" ht="19.5" customHeight="1">
      <c r="A128" s="17" t="s">
        <v>414</v>
      </c>
      <c r="B128" s="64" t="s">
        <v>371</v>
      </c>
      <c r="C128" s="74" t="s">
        <v>110</v>
      </c>
      <c r="D128" s="6">
        <f>SUM(D129:D132)</f>
        <v>390</v>
      </c>
      <c r="E128" s="6">
        <f>SUM(E129:E132)</f>
        <v>141.2</v>
      </c>
      <c r="F128" s="6">
        <f>SUM(F129:F132)</f>
        <v>192.59732</v>
      </c>
      <c r="G128" s="6">
        <f>SUM(G129:G131)</f>
        <v>10</v>
      </c>
      <c r="H128" s="5">
        <f t="shared" si="12"/>
        <v>-197.40268</v>
      </c>
      <c r="I128" s="6">
        <f t="shared" si="13"/>
        <v>49.3839282051282</v>
      </c>
      <c r="J128" s="2"/>
      <c r="L128" s="38"/>
    </row>
    <row r="129" spans="1:12" ht="15" customHeight="1" hidden="1">
      <c r="A129" s="23" t="s">
        <v>342</v>
      </c>
      <c r="B129" s="50" t="s">
        <v>341</v>
      </c>
      <c r="C129" s="7" t="s">
        <v>470</v>
      </c>
      <c r="D129" s="1">
        <v>0</v>
      </c>
      <c r="E129" s="1">
        <v>21</v>
      </c>
      <c r="F129" s="8">
        <v>0</v>
      </c>
      <c r="G129" s="5">
        <f>F129-L128</f>
        <v>0</v>
      </c>
      <c r="H129" s="4">
        <f t="shared" si="12"/>
        <v>0</v>
      </c>
      <c r="I129" s="1" t="e">
        <f t="shared" si="13"/>
        <v>#DIV/0!</v>
      </c>
      <c r="J129" s="2"/>
      <c r="L129" s="38"/>
    </row>
    <row r="130" spans="1:12" ht="23.25" customHeight="1" hidden="1">
      <c r="A130" s="23" t="s">
        <v>382</v>
      </c>
      <c r="B130" s="50" t="s">
        <v>383</v>
      </c>
      <c r="C130" s="7" t="s">
        <v>471</v>
      </c>
      <c r="D130" s="1">
        <v>0</v>
      </c>
      <c r="E130" s="1">
        <v>120.2</v>
      </c>
      <c r="F130" s="8">
        <v>0</v>
      </c>
      <c r="G130" s="5">
        <f>F130-L129</f>
        <v>0</v>
      </c>
      <c r="H130" s="4">
        <f t="shared" si="12"/>
        <v>0</v>
      </c>
      <c r="I130" s="1" t="e">
        <f t="shared" si="13"/>
        <v>#DIV/0!</v>
      </c>
      <c r="J130" s="2"/>
      <c r="L130" s="37"/>
    </row>
    <row r="131" spans="1:12" ht="31.5" customHeight="1">
      <c r="A131" s="23" t="s">
        <v>382</v>
      </c>
      <c r="B131" s="50" t="s">
        <v>383</v>
      </c>
      <c r="C131" s="7" t="s">
        <v>179</v>
      </c>
      <c r="D131" s="1">
        <v>10</v>
      </c>
      <c r="E131" s="1"/>
      <c r="F131" s="4">
        <v>10</v>
      </c>
      <c r="G131" s="5">
        <f>F131-L130</f>
        <v>10</v>
      </c>
      <c r="H131" s="4">
        <f t="shared" si="12"/>
        <v>0</v>
      </c>
      <c r="I131" s="1">
        <f t="shared" si="13"/>
        <v>100</v>
      </c>
      <c r="J131" s="2"/>
      <c r="L131" s="2"/>
    </row>
    <row r="132" spans="1:12" ht="47.25">
      <c r="A132" s="23"/>
      <c r="B132" s="50" t="s">
        <v>42</v>
      </c>
      <c r="C132" s="63" t="s">
        <v>223</v>
      </c>
      <c r="D132" s="1">
        <v>380</v>
      </c>
      <c r="E132" s="1"/>
      <c r="F132" s="4">
        <v>182.59732</v>
      </c>
      <c r="G132" s="5"/>
      <c r="H132" s="4">
        <f t="shared" si="12"/>
        <v>-197.40268</v>
      </c>
      <c r="I132" s="1">
        <f t="shared" si="13"/>
        <v>48.05192631578947</v>
      </c>
      <c r="J132" s="2"/>
      <c r="L132" s="2"/>
    </row>
    <row r="133" spans="1:12" ht="15.75">
      <c r="A133" s="19" t="s">
        <v>323</v>
      </c>
      <c r="B133" s="72" t="s">
        <v>324</v>
      </c>
      <c r="C133" s="55" t="s">
        <v>111</v>
      </c>
      <c r="D133" s="6">
        <f>D135+D136+D134+D137</f>
        <v>1381.2573699999998</v>
      </c>
      <c r="E133" s="6">
        <f>E135+E136+E134+E137</f>
        <v>336.9</v>
      </c>
      <c r="F133" s="6">
        <f>F135+F136+F134+F137</f>
        <v>753.6041200000001</v>
      </c>
      <c r="G133" s="6">
        <f>G135+G136</f>
        <v>695.37525</v>
      </c>
      <c r="H133" s="5">
        <f t="shared" si="12"/>
        <v>-627.6532499999997</v>
      </c>
      <c r="I133" s="6">
        <f t="shared" si="13"/>
        <v>54.559283184132454</v>
      </c>
      <c r="J133" s="2"/>
      <c r="L133" s="37"/>
    </row>
    <row r="134" spans="1:12" ht="48" customHeight="1">
      <c r="A134" s="19" t="s">
        <v>323</v>
      </c>
      <c r="B134" s="49" t="s">
        <v>21</v>
      </c>
      <c r="C134" s="55" t="s">
        <v>193</v>
      </c>
      <c r="D134" s="1">
        <v>45</v>
      </c>
      <c r="E134" s="1"/>
      <c r="F134" s="1">
        <v>24.22213</v>
      </c>
      <c r="G134" s="1"/>
      <c r="H134" s="4">
        <f t="shared" si="12"/>
        <v>-20.77787</v>
      </c>
      <c r="I134" s="1">
        <f t="shared" si="13"/>
        <v>53.82695555555556</v>
      </c>
      <c r="J134" s="2"/>
      <c r="L134" s="37"/>
    </row>
    <row r="135" spans="1:12" ht="62.25" customHeight="1">
      <c r="A135" s="19" t="s">
        <v>323</v>
      </c>
      <c r="B135" s="49" t="s">
        <v>415</v>
      </c>
      <c r="C135" s="7" t="s">
        <v>224</v>
      </c>
      <c r="D135" s="1">
        <v>70</v>
      </c>
      <c r="E135" s="1">
        <v>15</v>
      </c>
      <c r="F135" s="4">
        <v>48.31929</v>
      </c>
      <c r="G135" s="5">
        <f>F135-L133</f>
        <v>48.31929</v>
      </c>
      <c r="H135" s="4">
        <f t="shared" si="12"/>
        <v>-21.680709999999998</v>
      </c>
      <c r="I135" s="1">
        <f t="shared" si="13"/>
        <v>69.02755714285715</v>
      </c>
      <c r="J135" s="2"/>
      <c r="L135" s="37"/>
    </row>
    <row r="136" spans="1:12" ht="31.5">
      <c r="A136" s="19" t="s">
        <v>323</v>
      </c>
      <c r="B136" s="49" t="s">
        <v>325</v>
      </c>
      <c r="C136" s="7" t="s">
        <v>427</v>
      </c>
      <c r="D136" s="1">
        <v>1205.39737</v>
      </c>
      <c r="E136" s="1">
        <v>321.9</v>
      </c>
      <c r="F136" s="4">
        <v>647.05596</v>
      </c>
      <c r="G136" s="5">
        <f>F136-L135</f>
        <v>647.05596</v>
      </c>
      <c r="H136" s="4">
        <f aca="true" t="shared" si="14" ref="H136:H163">F136-D136</f>
        <v>-558.3414099999999</v>
      </c>
      <c r="I136" s="1">
        <f aca="true" t="shared" si="15" ref="I136:I163">F136/D136*100</f>
        <v>53.67988815173872</v>
      </c>
      <c r="J136" s="2"/>
      <c r="L136" s="37"/>
    </row>
    <row r="137" spans="1:12" ht="46.5" customHeight="1">
      <c r="A137" s="19" t="s">
        <v>323</v>
      </c>
      <c r="B137" s="49" t="s">
        <v>22</v>
      </c>
      <c r="C137" s="55" t="s">
        <v>194</v>
      </c>
      <c r="D137" s="1">
        <v>60.86</v>
      </c>
      <c r="E137" s="1"/>
      <c r="F137" s="4">
        <v>34.00674</v>
      </c>
      <c r="G137" s="5"/>
      <c r="H137" s="4">
        <f t="shared" si="14"/>
        <v>-26.85326</v>
      </c>
      <c r="I137" s="1">
        <f t="shared" si="15"/>
        <v>55.876996385146235</v>
      </c>
      <c r="J137" s="2"/>
      <c r="L137" s="37"/>
    </row>
    <row r="138" spans="1:12" ht="27.75" customHeight="1" hidden="1">
      <c r="A138" s="17" t="s">
        <v>343</v>
      </c>
      <c r="B138" s="48" t="s">
        <v>340</v>
      </c>
      <c r="C138" s="24" t="s">
        <v>7</v>
      </c>
      <c r="D138" s="1"/>
      <c r="E138" s="1"/>
      <c r="F138" s="4"/>
      <c r="G138" s="5">
        <f>F138-L136</f>
        <v>0</v>
      </c>
      <c r="H138" s="4">
        <f t="shared" si="14"/>
        <v>0</v>
      </c>
      <c r="I138" s="1" t="e">
        <f t="shared" si="15"/>
        <v>#DIV/0!</v>
      </c>
      <c r="J138" s="2"/>
      <c r="L138" s="37"/>
    </row>
    <row r="139" spans="1:12" ht="31.5" customHeight="1">
      <c r="A139" s="17" t="s">
        <v>416</v>
      </c>
      <c r="B139" s="64" t="s">
        <v>464</v>
      </c>
      <c r="C139" s="87" t="s">
        <v>199</v>
      </c>
      <c r="D139" s="88">
        <f>D140</f>
        <v>90</v>
      </c>
      <c r="E139" s="88">
        <f>E140</f>
        <v>50</v>
      </c>
      <c r="F139" s="88">
        <f>F140</f>
        <v>0</v>
      </c>
      <c r="G139" s="89">
        <f>G140</f>
        <v>0</v>
      </c>
      <c r="H139" s="5">
        <f t="shared" si="14"/>
        <v>-90</v>
      </c>
      <c r="I139" s="6">
        <f t="shared" si="15"/>
        <v>0</v>
      </c>
      <c r="J139" s="2"/>
      <c r="L139" s="37"/>
    </row>
    <row r="140" spans="1:12" ht="29.25" customHeight="1">
      <c r="A140" s="19" t="s">
        <v>416</v>
      </c>
      <c r="B140" s="49" t="s">
        <v>417</v>
      </c>
      <c r="C140" s="7" t="s">
        <v>202</v>
      </c>
      <c r="D140" s="9">
        <f>100-10</f>
        <v>90</v>
      </c>
      <c r="E140" s="9">
        <v>50</v>
      </c>
      <c r="F140" s="4">
        <v>0</v>
      </c>
      <c r="G140" s="5">
        <f>F140-L139</f>
        <v>0</v>
      </c>
      <c r="H140" s="4">
        <f t="shared" si="14"/>
        <v>-90</v>
      </c>
      <c r="I140" s="1">
        <f t="shared" si="15"/>
        <v>0</v>
      </c>
      <c r="J140" s="2"/>
      <c r="L140" s="2"/>
    </row>
    <row r="141" spans="1:12" ht="30" customHeight="1" hidden="1">
      <c r="A141" s="19" t="s">
        <v>416</v>
      </c>
      <c r="B141" s="49" t="s">
        <v>478</v>
      </c>
      <c r="C141" s="7" t="s">
        <v>480</v>
      </c>
      <c r="D141" s="9"/>
      <c r="E141" s="9"/>
      <c r="F141" s="4"/>
      <c r="G141" s="5"/>
      <c r="H141" s="4">
        <f t="shared" si="14"/>
        <v>0</v>
      </c>
      <c r="I141" s="1" t="e">
        <f t="shared" si="15"/>
        <v>#DIV/0!</v>
      </c>
      <c r="J141" s="2"/>
      <c r="L141" s="2"/>
    </row>
    <row r="142" spans="1:12" ht="31.5">
      <c r="A142" s="17"/>
      <c r="B142" s="64" t="s">
        <v>367</v>
      </c>
      <c r="C142" s="74" t="s">
        <v>198</v>
      </c>
      <c r="D142" s="6">
        <f>SUM(D143:D147)</f>
        <v>776.12</v>
      </c>
      <c r="E142" s="6">
        <f>SUM(E143:E147)</f>
        <v>447.1</v>
      </c>
      <c r="F142" s="6">
        <f>SUM(F143:F147)</f>
        <v>456.11595</v>
      </c>
      <c r="G142" s="6">
        <f>SUM(G143:G145)</f>
        <v>298.61955</v>
      </c>
      <c r="H142" s="5">
        <f t="shared" si="14"/>
        <v>-320.00405</v>
      </c>
      <c r="I142" s="6">
        <f t="shared" si="15"/>
        <v>58.76874065866103</v>
      </c>
      <c r="J142" s="2"/>
      <c r="L142" s="37"/>
    </row>
    <row r="143" spans="1:12" ht="50.25" customHeight="1" hidden="1">
      <c r="A143" s="17" t="s">
        <v>326</v>
      </c>
      <c r="B143" s="64" t="s">
        <v>327</v>
      </c>
      <c r="C143" s="55" t="s">
        <v>9</v>
      </c>
      <c r="D143" s="6">
        <v>0</v>
      </c>
      <c r="E143" s="6">
        <v>140</v>
      </c>
      <c r="F143" s="5"/>
      <c r="G143" s="5">
        <f>F143-L142</f>
        <v>0</v>
      </c>
      <c r="H143" s="5">
        <f t="shared" si="14"/>
        <v>0</v>
      </c>
      <c r="I143" s="6" t="e">
        <f t="shared" si="15"/>
        <v>#DIV/0!</v>
      </c>
      <c r="J143" s="2"/>
      <c r="L143" s="37"/>
    </row>
    <row r="144" spans="1:12" ht="48" customHeight="1">
      <c r="A144" s="17" t="s">
        <v>326</v>
      </c>
      <c r="B144" s="64" t="s">
        <v>327</v>
      </c>
      <c r="C144" s="55" t="s">
        <v>195</v>
      </c>
      <c r="D144" s="6">
        <v>408.6</v>
      </c>
      <c r="E144" s="6">
        <v>292.6</v>
      </c>
      <c r="F144" s="5">
        <v>287.92355</v>
      </c>
      <c r="G144" s="5">
        <f>F144-L143</f>
        <v>287.92355</v>
      </c>
      <c r="H144" s="5">
        <f t="shared" si="14"/>
        <v>-120.67645000000005</v>
      </c>
      <c r="I144" s="6">
        <f t="shared" si="15"/>
        <v>70.46587126774351</v>
      </c>
      <c r="J144" s="2"/>
      <c r="L144" s="37"/>
    </row>
    <row r="145" spans="1:12" ht="48.75" customHeight="1">
      <c r="A145" s="17" t="s">
        <v>326</v>
      </c>
      <c r="B145" s="64" t="s">
        <v>389</v>
      </c>
      <c r="C145" s="63" t="s">
        <v>196</v>
      </c>
      <c r="D145" s="6">
        <v>18</v>
      </c>
      <c r="E145" s="6">
        <v>12.5</v>
      </c>
      <c r="F145" s="5">
        <v>10.696</v>
      </c>
      <c r="G145" s="5">
        <f>F145-L144</f>
        <v>10.696</v>
      </c>
      <c r="H145" s="5">
        <f t="shared" si="14"/>
        <v>-7.304</v>
      </c>
      <c r="I145" s="6">
        <f t="shared" si="15"/>
        <v>59.42222222222222</v>
      </c>
      <c r="J145" s="2"/>
      <c r="L145" s="37"/>
    </row>
    <row r="146" spans="1:12" ht="31.5" hidden="1">
      <c r="A146" s="17" t="s">
        <v>328</v>
      </c>
      <c r="B146" s="64" t="s">
        <v>435</v>
      </c>
      <c r="C146" s="63" t="s">
        <v>10</v>
      </c>
      <c r="D146" s="6">
        <v>0</v>
      </c>
      <c r="E146" s="6">
        <v>2</v>
      </c>
      <c r="F146" s="5">
        <v>0</v>
      </c>
      <c r="G146" s="5">
        <f>F146-L145</f>
        <v>0</v>
      </c>
      <c r="H146" s="5">
        <f t="shared" si="14"/>
        <v>0</v>
      </c>
      <c r="I146" s="6" t="e">
        <f t="shared" si="15"/>
        <v>#DIV/0!</v>
      </c>
      <c r="J146" s="2"/>
      <c r="L146" s="37"/>
    </row>
    <row r="147" spans="1:12" ht="49.5" customHeight="1">
      <c r="A147" s="17" t="s">
        <v>326</v>
      </c>
      <c r="B147" s="64" t="s">
        <v>327</v>
      </c>
      <c r="C147" s="63" t="s">
        <v>225</v>
      </c>
      <c r="D147" s="6">
        <v>349.52</v>
      </c>
      <c r="E147" s="6"/>
      <c r="F147" s="5">
        <v>157.4964</v>
      </c>
      <c r="G147" s="5"/>
      <c r="H147" s="5">
        <f t="shared" si="14"/>
        <v>-192.0236</v>
      </c>
      <c r="I147" s="6">
        <f t="shared" si="15"/>
        <v>45.06076905470359</v>
      </c>
      <c r="J147" s="2"/>
      <c r="L147" s="37"/>
    </row>
    <row r="148" spans="1:12" ht="31.5">
      <c r="A148" s="17"/>
      <c r="B148" s="64" t="s">
        <v>48</v>
      </c>
      <c r="C148" s="63" t="s">
        <v>197</v>
      </c>
      <c r="D148" s="6">
        <f>D149+D150+D151+D154+D152+D153</f>
        <v>329.14347</v>
      </c>
      <c r="E148" s="6">
        <f>E149+E150+E151+E154+E152+E153</f>
        <v>10</v>
      </c>
      <c r="F148" s="6">
        <f>F149+F150+F151+F154+F152+F153</f>
        <v>260.22575</v>
      </c>
      <c r="G148" s="5"/>
      <c r="H148" s="5">
        <f t="shared" si="14"/>
        <v>-68.91771999999997</v>
      </c>
      <c r="I148" s="6">
        <f t="shared" si="15"/>
        <v>79.06149558428123</v>
      </c>
      <c r="J148" s="2"/>
      <c r="L148" s="37"/>
    </row>
    <row r="149" spans="1:12" ht="65.25" customHeight="1">
      <c r="A149" s="17"/>
      <c r="B149" s="64" t="s">
        <v>435</v>
      </c>
      <c r="C149" s="63" t="s">
        <v>129</v>
      </c>
      <c r="D149" s="6">
        <f>20.385-5</f>
        <v>15.385000000000002</v>
      </c>
      <c r="E149" s="6"/>
      <c r="F149" s="5">
        <v>0.505</v>
      </c>
      <c r="G149" s="5"/>
      <c r="H149" s="5">
        <f t="shared" si="14"/>
        <v>-14.88</v>
      </c>
      <c r="I149" s="6">
        <f t="shared" si="15"/>
        <v>3.282417939551511</v>
      </c>
      <c r="J149" s="2"/>
      <c r="L149" s="37"/>
    </row>
    <row r="150" spans="1:12" ht="63">
      <c r="A150" s="17" t="s">
        <v>328</v>
      </c>
      <c r="B150" s="64" t="s">
        <v>435</v>
      </c>
      <c r="C150" s="63" t="s">
        <v>201</v>
      </c>
      <c r="D150" s="6">
        <f>20.75847-5</f>
        <v>15.758469999999999</v>
      </c>
      <c r="E150" s="6">
        <v>10</v>
      </c>
      <c r="F150" s="5">
        <v>2.94627</v>
      </c>
      <c r="G150" s="5">
        <f>F150-L146</f>
        <v>2.94627</v>
      </c>
      <c r="H150" s="5">
        <f t="shared" si="14"/>
        <v>-12.812199999999999</v>
      </c>
      <c r="I150" s="6">
        <f t="shared" si="15"/>
        <v>18.696421670377898</v>
      </c>
      <c r="J150" s="2"/>
      <c r="L150" s="37"/>
    </row>
    <row r="151" spans="1:12" ht="47.25">
      <c r="A151" s="25" t="s">
        <v>328</v>
      </c>
      <c r="B151" s="64" t="s">
        <v>435</v>
      </c>
      <c r="C151" s="63" t="s">
        <v>226</v>
      </c>
      <c r="D151" s="6">
        <v>30</v>
      </c>
      <c r="E151" s="6"/>
      <c r="F151" s="5">
        <v>0</v>
      </c>
      <c r="G151" s="5"/>
      <c r="H151" s="5">
        <f t="shared" si="14"/>
        <v>-30</v>
      </c>
      <c r="I151" s="6">
        <f t="shared" si="15"/>
        <v>0</v>
      </c>
      <c r="J151" s="2"/>
      <c r="L151" s="37"/>
    </row>
    <row r="152" spans="1:12" ht="63.75" customHeight="1">
      <c r="A152" s="25"/>
      <c r="B152" s="64" t="s">
        <v>435</v>
      </c>
      <c r="C152" s="63" t="s">
        <v>201</v>
      </c>
      <c r="D152" s="6">
        <v>238</v>
      </c>
      <c r="E152" s="6"/>
      <c r="F152" s="5">
        <v>237.97448</v>
      </c>
      <c r="G152" s="5"/>
      <c r="H152" s="5">
        <f t="shared" si="14"/>
        <v>-0.02552000000000021</v>
      </c>
      <c r="I152" s="6">
        <f t="shared" si="15"/>
        <v>99.98927731092438</v>
      </c>
      <c r="J152" s="2"/>
      <c r="L152" s="37"/>
    </row>
    <row r="153" spans="1:12" ht="31.5">
      <c r="A153" s="25"/>
      <c r="B153" s="64" t="s">
        <v>435</v>
      </c>
      <c r="C153" s="63" t="s">
        <v>130</v>
      </c>
      <c r="D153" s="6">
        <v>20</v>
      </c>
      <c r="E153" s="6"/>
      <c r="F153" s="5">
        <v>18.8</v>
      </c>
      <c r="G153" s="5"/>
      <c r="H153" s="5">
        <f t="shared" si="14"/>
        <v>-1.1999999999999993</v>
      </c>
      <c r="I153" s="6">
        <f t="shared" si="15"/>
        <v>94</v>
      </c>
      <c r="J153" s="2"/>
      <c r="L153" s="37"/>
    </row>
    <row r="154" spans="1:12" ht="30.75" customHeight="1">
      <c r="A154" s="25" t="s">
        <v>328</v>
      </c>
      <c r="B154" s="64" t="s">
        <v>203</v>
      </c>
      <c r="C154" s="63" t="s">
        <v>204</v>
      </c>
      <c r="D154" s="6">
        <v>10</v>
      </c>
      <c r="E154" s="6"/>
      <c r="F154" s="5">
        <v>0</v>
      </c>
      <c r="G154" s="5"/>
      <c r="H154" s="5">
        <f t="shared" si="14"/>
        <v>-10</v>
      </c>
      <c r="I154" s="6">
        <f t="shared" si="15"/>
        <v>0</v>
      </c>
      <c r="J154" s="2"/>
      <c r="L154" s="37"/>
    </row>
    <row r="155" spans="1:12" ht="32.25" customHeight="1">
      <c r="A155" s="17" t="s">
        <v>418</v>
      </c>
      <c r="B155" s="64" t="s">
        <v>465</v>
      </c>
      <c r="C155" s="55" t="s">
        <v>207</v>
      </c>
      <c r="D155" s="6">
        <f>D156+D157</f>
        <v>283.5</v>
      </c>
      <c r="E155" s="6">
        <f>E156+E157</f>
        <v>119.7</v>
      </c>
      <c r="F155" s="6">
        <f>F156+F157</f>
        <v>155.91059</v>
      </c>
      <c r="G155" s="5"/>
      <c r="H155" s="5">
        <f t="shared" si="14"/>
        <v>-127.58940999999999</v>
      </c>
      <c r="I155" s="6">
        <f t="shared" si="15"/>
        <v>54.994917107583774</v>
      </c>
      <c r="J155" s="2"/>
      <c r="L155" s="37"/>
    </row>
    <row r="156" spans="1:12" ht="60" customHeight="1">
      <c r="A156" s="17" t="s">
        <v>418</v>
      </c>
      <c r="B156" s="64" t="s">
        <v>347</v>
      </c>
      <c r="C156" s="55" t="s">
        <v>208</v>
      </c>
      <c r="D156" s="6">
        <f>42.5-3-5</f>
        <v>34.5</v>
      </c>
      <c r="E156" s="6">
        <v>20</v>
      </c>
      <c r="F156" s="5">
        <v>10.33221</v>
      </c>
      <c r="G156" s="5">
        <f>F156-L155</f>
        <v>10.33221</v>
      </c>
      <c r="H156" s="5">
        <f t="shared" si="14"/>
        <v>-24.16779</v>
      </c>
      <c r="I156" s="6">
        <f t="shared" si="15"/>
        <v>29.948434782608697</v>
      </c>
      <c r="J156" s="2"/>
      <c r="L156" s="37"/>
    </row>
    <row r="157" spans="1:12" ht="31.5">
      <c r="A157" s="17" t="s">
        <v>418</v>
      </c>
      <c r="B157" s="64" t="s">
        <v>339</v>
      </c>
      <c r="C157" s="55" t="s">
        <v>472</v>
      </c>
      <c r="D157" s="6">
        <v>249</v>
      </c>
      <c r="E157" s="6">
        <v>99.7</v>
      </c>
      <c r="F157" s="5">
        <v>145.57838</v>
      </c>
      <c r="G157" s="5">
        <f>F157-L156</f>
        <v>145.57838</v>
      </c>
      <c r="H157" s="5">
        <f t="shared" si="14"/>
        <v>-103.42161999999999</v>
      </c>
      <c r="I157" s="6">
        <f t="shared" si="15"/>
        <v>58.465212851405624</v>
      </c>
      <c r="J157" s="2"/>
      <c r="L157" s="37"/>
    </row>
    <row r="158" spans="1:12" ht="15" customHeight="1">
      <c r="A158" s="17"/>
      <c r="B158" s="64" t="s">
        <v>466</v>
      </c>
      <c r="C158" s="55" t="s">
        <v>209</v>
      </c>
      <c r="D158" s="6">
        <f>D160+D169+D171+D172+D173+D174+D175+D176+D179+D178+D170+D161+D177</f>
        <v>441.77134</v>
      </c>
      <c r="E158" s="6">
        <f>E160+E169+E171+E172+E173+E174+E175+E176+E179+E178+E170+E161+E177</f>
        <v>0</v>
      </c>
      <c r="F158" s="6">
        <f>F160+F169+F171+F172+F173+F174+F175+F176+F179+F178+F170+F161+F177</f>
        <v>180.00196</v>
      </c>
      <c r="G158" s="6" t="e">
        <f>G159+G160+G161+G162+G165+G166+G171+G172+G179+#REF!+#REF!+#REF!</f>
        <v>#REF!</v>
      </c>
      <c r="H158" s="5">
        <f t="shared" si="14"/>
        <v>-261.76938</v>
      </c>
      <c r="I158" s="6">
        <f t="shared" si="15"/>
        <v>40.74550422397252</v>
      </c>
      <c r="J158" s="2"/>
      <c r="L158" s="37"/>
    </row>
    <row r="159" spans="1:12" ht="13.5" customHeight="1" hidden="1">
      <c r="A159" s="17" t="s">
        <v>329</v>
      </c>
      <c r="B159" s="48" t="s">
        <v>330</v>
      </c>
      <c r="C159" s="18" t="s">
        <v>364</v>
      </c>
      <c r="D159" s="1">
        <v>0</v>
      </c>
      <c r="E159" s="1">
        <v>60</v>
      </c>
      <c r="F159" s="4">
        <v>0</v>
      </c>
      <c r="G159" s="5">
        <f>F159-L158</f>
        <v>0</v>
      </c>
      <c r="H159" s="4">
        <f t="shared" si="14"/>
        <v>0</v>
      </c>
      <c r="I159" s="1" t="e">
        <f t="shared" si="15"/>
        <v>#DIV/0!</v>
      </c>
      <c r="J159" s="2"/>
      <c r="L159" s="2"/>
    </row>
    <row r="160" spans="1:12" ht="47.25" hidden="1">
      <c r="A160" s="17" t="s">
        <v>329</v>
      </c>
      <c r="B160" s="64" t="s">
        <v>428</v>
      </c>
      <c r="C160" s="55" t="s">
        <v>210</v>
      </c>
      <c r="D160" s="6"/>
      <c r="E160" s="6"/>
      <c r="F160" s="6"/>
      <c r="G160" s="5">
        <f>F160-L159</f>
        <v>0</v>
      </c>
      <c r="H160" s="5">
        <f t="shared" si="14"/>
        <v>0</v>
      </c>
      <c r="I160" s="6" t="e">
        <f t="shared" si="15"/>
        <v>#DIV/0!</v>
      </c>
      <c r="J160" s="2"/>
      <c r="L160" s="37"/>
    </row>
    <row r="161" spans="1:12" ht="51.75" customHeight="1" hidden="1">
      <c r="A161" s="17" t="s">
        <v>332</v>
      </c>
      <c r="B161" s="48" t="s">
        <v>428</v>
      </c>
      <c r="C161" s="7" t="s">
        <v>211</v>
      </c>
      <c r="D161" s="1"/>
      <c r="E161" s="1"/>
      <c r="F161" s="4"/>
      <c r="G161" s="5">
        <f>F161-L160</f>
        <v>0</v>
      </c>
      <c r="H161" s="4">
        <f t="shared" si="14"/>
        <v>0</v>
      </c>
      <c r="I161" s="1" t="e">
        <f t="shared" si="15"/>
        <v>#DIV/0!</v>
      </c>
      <c r="J161" s="2"/>
      <c r="L161" s="37"/>
    </row>
    <row r="162" spans="1:12" ht="15" customHeight="1" hidden="1">
      <c r="A162" s="19" t="s">
        <v>332</v>
      </c>
      <c r="B162" s="49" t="s">
        <v>338</v>
      </c>
      <c r="C162" s="26" t="s">
        <v>3</v>
      </c>
      <c r="D162" s="1">
        <v>0</v>
      </c>
      <c r="E162" s="1"/>
      <c r="F162" s="4"/>
      <c r="G162" s="5">
        <f>F162-L161</f>
        <v>0</v>
      </c>
      <c r="H162" s="4">
        <f t="shared" si="14"/>
        <v>0</v>
      </c>
      <c r="I162" s="1" t="e">
        <f t="shared" si="15"/>
        <v>#DIV/0!</v>
      </c>
      <c r="J162" s="2"/>
      <c r="L162" s="2"/>
    </row>
    <row r="163" spans="1:12" ht="12.75" customHeight="1" hidden="1">
      <c r="A163" s="17" t="s">
        <v>329</v>
      </c>
      <c r="B163" s="48" t="s">
        <v>331</v>
      </c>
      <c r="C163" s="7" t="s">
        <v>437</v>
      </c>
      <c r="D163" s="1"/>
      <c r="E163" s="1">
        <v>0</v>
      </c>
      <c r="F163" s="1"/>
      <c r="G163" s="5">
        <f>F163-L162</f>
        <v>0</v>
      </c>
      <c r="H163" s="4">
        <f t="shared" si="14"/>
        <v>0</v>
      </c>
      <c r="I163" s="1" t="e">
        <f t="shared" si="15"/>
        <v>#DIV/0!</v>
      </c>
      <c r="J163" s="2"/>
      <c r="L163" s="2"/>
    </row>
    <row r="164" spans="1:12" ht="11.25" customHeight="1" hidden="1">
      <c r="A164" s="25"/>
      <c r="B164" s="51"/>
      <c r="C164" s="7"/>
      <c r="D164" s="10"/>
      <c r="E164" s="10"/>
      <c r="F164" s="10"/>
      <c r="G164" s="8"/>
      <c r="H164" s="8"/>
      <c r="I164" s="10"/>
      <c r="J164" s="2"/>
      <c r="L164" s="2"/>
    </row>
    <row r="165" spans="1:12" ht="14.25" customHeight="1" hidden="1">
      <c r="A165" s="17" t="s">
        <v>329</v>
      </c>
      <c r="B165" s="48" t="s">
        <v>331</v>
      </c>
      <c r="C165" s="7" t="s">
        <v>5</v>
      </c>
      <c r="D165" s="6"/>
      <c r="E165" s="1"/>
      <c r="F165" s="1"/>
      <c r="G165" s="5"/>
      <c r="H165" s="4">
        <f aca="true" t="shared" si="16" ref="H165:H184">F165-D165</f>
        <v>0</v>
      </c>
      <c r="I165" s="1" t="e">
        <f aca="true" t="shared" si="17" ref="I165:I184">F165/D165*100</f>
        <v>#DIV/0!</v>
      </c>
      <c r="J165" s="2"/>
      <c r="L165" s="2"/>
    </row>
    <row r="166" spans="1:12" ht="13.5" customHeight="1" hidden="1">
      <c r="A166" s="17" t="s">
        <v>329</v>
      </c>
      <c r="B166" s="48" t="s">
        <v>331</v>
      </c>
      <c r="C166" s="7" t="s">
        <v>4</v>
      </c>
      <c r="D166" s="6"/>
      <c r="E166" s="1">
        <v>0.3</v>
      </c>
      <c r="F166" s="1"/>
      <c r="G166" s="5">
        <f>F166-L164</f>
        <v>0</v>
      </c>
      <c r="H166" s="4">
        <f t="shared" si="16"/>
        <v>0</v>
      </c>
      <c r="I166" s="1" t="e">
        <f t="shared" si="17"/>
        <v>#DIV/0!</v>
      </c>
      <c r="J166" s="2"/>
      <c r="L166" s="2"/>
    </row>
    <row r="167" spans="1:12" ht="12.75" customHeight="1" hidden="1">
      <c r="A167" s="17" t="s">
        <v>329</v>
      </c>
      <c r="B167" s="48" t="s">
        <v>331</v>
      </c>
      <c r="C167" s="7" t="s">
        <v>450</v>
      </c>
      <c r="D167" s="11">
        <v>0</v>
      </c>
      <c r="E167" s="1">
        <v>2.5</v>
      </c>
      <c r="F167" s="1">
        <v>0</v>
      </c>
      <c r="G167" s="5">
        <f>F167-L166</f>
        <v>0</v>
      </c>
      <c r="H167" s="4">
        <f t="shared" si="16"/>
        <v>0</v>
      </c>
      <c r="I167" s="1" t="e">
        <f t="shared" si="17"/>
        <v>#DIV/0!</v>
      </c>
      <c r="J167" s="2"/>
      <c r="L167" s="2"/>
    </row>
    <row r="168" spans="1:12" ht="13.5" customHeight="1" hidden="1">
      <c r="A168" s="17" t="s">
        <v>329</v>
      </c>
      <c r="B168" s="48" t="s">
        <v>331</v>
      </c>
      <c r="C168" s="7" t="s">
        <v>477</v>
      </c>
      <c r="D168" s="6"/>
      <c r="E168" s="1">
        <v>50</v>
      </c>
      <c r="F168" s="1">
        <v>0</v>
      </c>
      <c r="G168" s="5">
        <f>F168-L167</f>
        <v>0</v>
      </c>
      <c r="H168" s="4">
        <f t="shared" si="16"/>
        <v>0</v>
      </c>
      <c r="I168" s="1" t="e">
        <f t="shared" si="17"/>
        <v>#DIV/0!</v>
      </c>
      <c r="J168" s="2"/>
      <c r="L168" s="2"/>
    </row>
    <row r="169" spans="1:12" ht="12" customHeight="1" hidden="1">
      <c r="A169" s="17" t="s">
        <v>329</v>
      </c>
      <c r="B169" s="48" t="s">
        <v>330</v>
      </c>
      <c r="C169" s="7" t="s">
        <v>364</v>
      </c>
      <c r="D169" s="6"/>
      <c r="E169" s="1"/>
      <c r="F169" s="1">
        <v>0</v>
      </c>
      <c r="G169" s="5"/>
      <c r="H169" s="4">
        <f t="shared" si="16"/>
        <v>0</v>
      </c>
      <c r="I169" s="1" t="e">
        <f t="shared" si="17"/>
        <v>#DIV/0!</v>
      </c>
      <c r="J169" s="2"/>
      <c r="L169" s="2"/>
    </row>
    <row r="170" spans="1:12" ht="21" customHeight="1" hidden="1">
      <c r="A170" s="17"/>
      <c r="B170" s="48" t="s">
        <v>80</v>
      </c>
      <c r="C170" s="7" t="s">
        <v>81</v>
      </c>
      <c r="D170" s="6"/>
      <c r="E170" s="1"/>
      <c r="F170" s="1">
        <v>0</v>
      </c>
      <c r="G170" s="5"/>
      <c r="H170" s="4">
        <f t="shared" si="16"/>
        <v>0</v>
      </c>
      <c r="I170" s="1" t="e">
        <f t="shared" si="17"/>
        <v>#DIV/0!</v>
      </c>
      <c r="J170" s="2"/>
      <c r="L170" s="2"/>
    </row>
    <row r="171" spans="1:12" ht="48.75" customHeight="1">
      <c r="A171" s="17" t="s">
        <v>332</v>
      </c>
      <c r="B171" s="48" t="s">
        <v>467</v>
      </c>
      <c r="C171" s="7" t="s">
        <v>227</v>
      </c>
      <c r="D171" s="6">
        <v>119</v>
      </c>
      <c r="E171" s="1"/>
      <c r="F171" s="1">
        <v>52.59355</v>
      </c>
      <c r="G171" s="5"/>
      <c r="H171" s="4">
        <f t="shared" si="16"/>
        <v>-66.40645</v>
      </c>
      <c r="I171" s="1">
        <f t="shared" si="17"/>
        <v>44.19626050420168</v>
      </c>
      <c r="J171" s="2"/>
      <c r="L171" s="2"/>
    </row>
    <row r="172" spans="1:12" ht="63">
      <c r="A172" s="17" t="s">
        <v>332</v>
      </c>
      <c r="B172" s="48" t="s">
        <v>467</v>
      </c>
      <c r="C172" s="7" t="s">
        <v>212</v>
      </c>
      <c r="D172" s="6">
        <v>15</v>
      </c>
      <c r="E172" s="1"/>
      <c r="F172" s="1">
        <v>8.72094</v>
      </c>
      <c r="G172" s="5"/>
      <c r="H172" s="4">
        <f t="shared" si="16"/>
        <v>-6.279059999999999</v>
      </c>
      <c r="I172" s="1">
        <f t="shared" si="17"/>
        <v>58.1396</v>
      </c>
      <c r="J172" s="2"/>
      <c r="L172" s="2"/>
    </row>
    <row r="173" spans="1:12" ht="63">
      <c r="A173" s="17"/>
      <c r="B173" s="48" t="s">
        <v>467</v>
      </c>
      <c r="C173" s="7" t="s">
        <v>228</v>
      </c>
      <c r="D173" s="6">
        <f>70-2.5</f>
        <v>67.5</v>
      </c>
      <c r="E173" s="1"/>
      <c r="F173" s="1">
        <v>2.43038</v>
      </c>
      <c r="G173" s="5"/>
      <c r="H173" s="4">
        <f t="shared" si="16"/>
        <v>-65.06962</v>
      </c>
      <c r="I173" s="1">
        <f t="shared" si="17"/>
        <v>3.600562962962963</v>
      </c>
      <c r="J173" s="2"/>
      <c r="L173" s="2"/>
    </row>
    <row r="174" spans="1:12" ht="78.75">
      <c r="A174" s="17"/>
      <c r="B174" s="48" t="s">
        <v>467</v>
      </c>
      <c r="C174" s="7" t="s">
        <v>273</v>
      </c>
      <c r="D174" s="6">
        <v>15</v>
      </c>
      <c r="E174" s="1"/>
      <c r="F174" s="1">
        <v>8.38503</v>
      </c>
      <c r="G174" s="5"/>
      <c r="H174" s="4">
        <f t="shared" si="16"/>
        <v>-6.61497</v>
      </c>
      <c r="I174" s="1">
        <f t="shared" si="17"/>
        <v>55.9002</v>
      </c>
      <c r="J174" s="2"/>
      <c r="L174" s="2"/>
    </row>
    <row r="175" spans="1:12" ht="63">
      <c r="A175" s="17"/>
      <c r="B175" s="48" t="s">
        <v>467</v>
      </c>
      <c r="C175" s="7" t="s">
        <v>214</v>
      </c>
      <c r="D175" s="6">
        <v>45</v>
      </c>
      <c r="E175" s="1"/>
      <c r="F175" s="1">
        <v>22.93929</v>
      </c>
      <c r="G175" s="5"/>
      <c r="H175" s="4">
        <f t="shared" si="16"/>
        <v>-22.06071</v>
      </c>
      <c r="I175" s="1">
        <f t="shared" si="17"/>
        <v>50.976200000000006</v>
      </c>
      <c r="J175" s="2"/>
      <c r="L175" s="2"/>
    </row>
    <row r="176" spans="1:12" ht="78" customHeight="1">
      <c r="A176" s="17"/>
      <c r="B176" s="48" t="s">
        <v>467</v>
      </c>
      <c r="C176" s="7" t="s">
        <v>215</v>
      </c>
      <c r="D176" s="6">
        <f>32-18</f>
        <v>14</v>
      </c>
      <c r="E176" s="1"/>
      <c r="F176" s="1">
        <v>3.724</v>
      </c>
      <c r="G176" s="5"/>
      <c r="H176" s="4">
        <f t="shared" si="16"/>
        <v>-10.276</v>
      </c>
      <c r="I176" s="1">
        <f t="shared" si="17"/>
        <v>26.6</v>
      </c>
      <c r="J176" s="2"/>
      <c r="L176" s="2"/>
    </row>
    <row r="177" spans="1:12" ht="78.75" hidden="1">
      <c r="A177" s="17"/>
      <c r="B177" s="48" t="s">
        <v>467</v>
      </c>
      <c r="C177" s="7" t="s">
        <v>183</v>
      </c>
      <c r="D177" s="6">
        <f>110-110</f>
        <v>0</v>
      </c>
      <c r="E177" s="1"/>
      <c r="F177" s="1">
        <v>0</v>
      </c>
      <c r="G177" s="5"/>
      <c r="H177" s="4">
        <f t="shared" si="16"/>
        <v>0</v>
      </c>
      <c r="I177" s="1" t="e">
        <f t="shared" si="17"/>
        <v>#DIV/0!</v>
      </c>
      <c r="J177" s="2"/>
      <c r="L177" s="2"/>
    </row>
    <row r="178" spans="1:12" ht="78.75">
      <c r="A178" s="17"/>
      <c r="B178" s="48" t="s">
        <v>467</v>
      </c>
      <c r="C178" s="7" t="s">
        <v>79</v>
      </c>
      <c r="D178" s="6">
        <v>34.6</v>
      </c>
      <c r="E178" s="1"/>
      <c r="F178" s="1">
        <v>0</v>
      </c>
      <c r="G178" s="5"/>
      <c r="H178" s="4">
        <f t="shared" si="16"/>
        <v>-34.6</v>
      </c>
      <c r="I178" s="1">
        <f t="shared" si="17"/>
        <v>0</v>
      </c>
      <c r="J178" s="2"/>
      <c r="L178" s="2"/>
    </row>
    <row r="179" spans="1:12" ht="14.25" customHeight="1">
      <c r="A179" s="17" t="s">
        <v>332</v>
      </c>
      <c r="B179" s="48" t="s">
        <v>331</v>
      </c>
      <c r="C179" s="7" t="s">
        <v>216</v>
      </c>
      <c r="D179" s="6">
        <v>131.67134</v>
      </c>
      <c r="E179" s="1"/>
      <c r="F179" s="1">
        <v>81.20877</v>
      </c>
      <c r="G179" s="5"/>
      <c r="H179" s="4">
        <f t="shared" si="16"/>
        <v>-50.462569999999985</v>
      </c>
      <c r="I179" s="1">
        <f t="shared" si="17"/>
        <v>61.675357750593264</v>
      </c>
      <c r="J179" s="2"/>
      <c r="L179" s="2"/>
    </row>
    <row r="180" spans="1:12" ht="13.5" customHeight="1" hidden="1">
      <c r="A180" s="17"/>
      <c r="B180" s="48" t="s">
        <v>467</v>
      </c>
      <c r="C180" s="7" t="s">
        <v>16</v>
      </c>
      <c r="D180" s="6"/>
      <c r="E180" s="1"/>
      <c r="F180" s="1">
        <v>0</v>
      </c>
      <c r="G180" s="5"/>
      <c r="H180" s="4">
        <f t="shared" si="16"/>
        <v>0</v>
      </c>
      <c r="I180" s="1" t="e">
        <f t="shared" si="17"/>
        <v>#DIV/0!</v>
      </c>
      <c r="J180" s="2"/>
      <c r="L180" s="2"/>
    </row>
    <row r="181" spans="1:12" ht="15.75">
      <c r="A181" s="90"/>
      <c r="B181" s="64"/>
      <c r="C181" s="55" t="s">
        <v>419</v>
      </c>
      <c r="D181" s="6">
        <f>D10+D20+D21+D38+D113+D121+D128+D133+D139+D142+D148+D155+D158</f>
        <v>124103.36865000002</v>
      </c>
      <c r="E181" s="6">
        <f>E10+E20+E21+E38+E113+E121+E128+E133+E139+E142+E148+E155+E158</f>
        <v>36216.49999999999</v>
      </c>
      <c r="F181" s="6">
        <f>F10+F20+F21+F38+F113+F121+F128+F133+F139+F142+F148+F155+F158</f>
        <v>69439.35972000001</v>
      </c>
      <c r="G181" s="6" t="e">
        <f>G10+G21+G36+G38+G113+G121+G128+G133+G138+G140+G142+G146+G150+G156+G157+G159+G160+G162+G161+G163+G164+G166+G167+G168</f>
        <v>#REF!</v>
      </c>
      <c r="H181" s="5">
        <f t="shared" si="16"/>
        <v>-54664.00893000001</v>
      </c>
      <c r="I181" s="6">
        <f t="shared" si="17"/>
        <v>55.95284034217873</v>
      </c>
      <c r="J181" s="2"/>
      <c r="L181" s="37"/>
    </row>
    <row r="182" spans="1:12" ht="18.75" customHeight="1">
      <c r="A182" s="90" t="s">
        <v>332</v>
      </c>
      <c r="B182" s="64" t="s">
        <v>333</v>
      </c>
      <c r="C182" s="55" t="s">
        <v>420</v>
      </c>
      <c r="D182" s="6">
        <v>42313.4</v>
      </c>
      <c r="E182" s="6">
        <v>10216.7</v>
      </c>
      <c r="F182" s="5">
        <v>22885.39261</v>
      </c>
      <c r="G182" s="5">
        <f>F182-L181</f>
        <v>22885.39261</v>
      </c>
      <c r="H182" s="5">
        <f t="shared" si="16"/>
        <v>-19428.007390000002</v>
      </c>
      <c r="I182" s="6">
        <f t="shared" si="17"/>
        <v>54.08544955026067</v>
      </c>
      <c r="J182" s="2"/>
      <c r="L182" s="2"/>
    </row>
    <row r="183" spans="1:12" ht="33.75" customHeight="1">
      <c r="A183" s="90"/>
      <c r="B183" s="64" t="s">
        <v>131</v>
      </c>
      <c r="C183" s="55" t="s">
        <v>404</v>
      </c>
      <c r="D183" s="6">
        <v>135.012</v>
      </c>
      <c r="E183" s="6"/>
      <c r="F183" s="5">
        <v>135.01154</v>
      </c>
      <c r="G183" s="5"/>
      <c r="H183" s="5">
        <f t="shared" si="16"/>
        <v>-0.00046000000000390173</v>
      </c>
      <c r="I183" s="6">
        <f t="shared" si="17"/>
        <v>99.99965928954462</v>
      </c>
      <c r="J183" s="2"/>
      <c r="L183" s="2"/>
    </row>
    <row r="184" spans="1:12" ht="15.75">
      <c r="A184" s="90"/>
      <c r="B184" s="90"/>
      <c r="C184" s="55" t="s">
        <v>289</v>
      </c>
      <c r="D184" s="6">
        <f>SUM(D181:D183)</f>
        <v>166551.78065</v>
      </c>
      <c r="E184" s="6">
        <f>SUM(E181:E183)</f>
        <v>46433.2</v>
      </c>
      <c r="F184" s="6">
        <f>SUM(F181:F183)</f>
        <v>92459.76387000001</v>
      </c>
      <c r="G184" s="6" t="e">
        <f>G181+G182</f>
        <v>#REF!</v>
      </c>
      <c r="H184" s="5">
        <f t="shared" si="16"/>
        <v>-74092.01677999999</v>
      </c>
      <c r="I184" s="6">
        <f t="shared" si="17"/>
        <v>55.51412510221038</v>
      </c>
      <c r="J184" s="58"/>
      <c r="L184" s="29"/>
    </row>
    <row r="185" spans="1:12" ht="15.75">
      <c r="A185" s="111"/>
      <c r="B185" s="111"/>
      <c r="C185" s="111"/>
      <c r="D185" s="111"/>
      <c r="E185" s="111"/>
      <c r="F185" s="111"/>
      <c r="G185" s="111"/>
      <c r="H185" s="111"/>
      <c r="I185" s="112"/>
      <c r="J185" s="58"/>
      <c r="L185" s="29"/>
    </row>
    <row r="186" spans="1:12" s="28" customFormat="1" ht="15.75">
      <c r="A186" s="91"/>
      <c r="B186" s="92"/>
      <c r="C186" s="93" t="s">
        <v>475</v>
      </c>
      <c r="D186" s="71">
        <f>D187+D189+D200+D204+D217+D223+D226+D231+D235+D239+D242+D245+D251+D188</f>
        <v>26447.880559999998</v>
      </c>
      <c r="E186" s="71">
        <f>E187+E189+E200+E204+E217+E223+E226+E231+E235+E239+E242+E245+E251+E188</f>
        <v>116</v>
      </c>
      <c r="F186" s="71">
        <f>F187+F189+F200+F204+F217+F223+F226+F231+F235+F239+F242+F245+F251+F188</f>
        <v>6696.39379</v>
      </c>
      <c r="G186" s="13"/>
      <c r="H186" s="5">
        <f aca="true" t="shared" si="18" ref="H186:H217">F186-D186</f>
        <v>-19751.486769999996</v>
      </c>
      <c r="I186" s="6">
        <f aca="true" t="shared" si="19" ref="I186:I217">F186/D186*100</f>
        <v>25.319207619712575</v>
      </c>
      <c r="J186" s="103"/>
      <c r="L186" s="104"/>
    </row>
    <row r="187" spans="1:12" ht="30.75" customHeight="1">
      <c r="A187" s="94"/>
      <c r="B187" s="95" t="s">
        <v>237</v>
      </c>
      <c r="C187" s="96" t="s">
        <v>90</v>
      </c>
      <c r="D187" s="71">
        <f>653.01589+2.3+12.5</f>
        <v>667.81589</v>
      </c>
      <c r="E187" s="71"/>
      <c r="F187" s="71">
        <v>79.25572</v>
      </c>
      <c r="G187" s="13"/>
      <c r="H187" s="5">
        <f t="shared" si="18"/>
        <v>-588.56017</v>
      </c>
      <c r="I187" s="6">
        <f t="shared" si="19"/>
        <v>11.867899699122164</v>
      </c>
      <c r="J187" s="58"/>
      <c r="L187" s="29"/>
    </row>
    <row r="188" spans="1:12" ht="72" customHeight="1">
      <c r="A188" s="94"/>
      <c r="B188" s="95" t="s">
        <v>230</v>
      </c>
      <c r="C188" s="96" t="s">
        <v>236</v>
      </c>
      <c r="D188" s="76">
        <v>60</v>
      </c>
      <c r="E188" s="76"/>
      <c r="F188" s="76">
        <v>0</v>
      </c>
      <c r="G188" s="101"/>
      <c r="H188" s="5">
        <f t="shared" si="18"/>
        <v>-60</v>
      </c>
      <c r="I188" s="73">
        <f t="shared" si="19"/>
        <v>0</v>
      </c>
      <c r="J188" s="58"/>
      <c r="L188" s="29"/>
    </row>
    <row r="189" spans="1:12" ht="34.5" customHeight="1">
      <c r="A189" s="97"/>
      <c r="B189" s="102" t="s">
        <v>298</v>
      </c>
      <c r="C189" s="98" t="s">
        <v>458</v>
      </c>
      <c r="D189" s="76">
        <f>D190+D192+D195+D193+D198+D191+D194+D196+D197+D199</f>
        <v>2209.20287</v>
      </c>
      <c r="E189" s="76">
        <f>E190+E192+E195+E193+E198+E191+E194+E196+E197+E199</f>
        <v>0</v>
      </c>
      <c r="F189" s="76">
        <f>F190+F192+F195+F193+F198+F191+F194+F196+F197+F199</f>
        <v>575.36188</v>
      </c>
      <c r="G189" s="68"/>
      <c r="H189" s="68">
        <f t="shared" si="18"/>
        <v>-1633.8409900000001</v>
      </c>
      <c r="I189" s="73">
        <f t="shared" si="19"/>
        <v>26.043868031006134</v>
      </c>
      <c r="J189" s="58"/>
      <c r="L189" s="29"/>
    </row>
    <row r="190" spans="1:12" ht="31.5">
      <c r="A190" s="97"/>
      <c r="B190" s="75" t="s">
        <v>356</v>
      </c>
      <c r="C190" s="63" t="s">
        <v>284</v>
      </c>
      <c r="D190" s="76">
        <f>1199.50348-13.7</f>
        <v>1185.80348</v>
      </c>
      <c r="E190" s="76"/>
      <c r="F190" s="76">
        <v>71.00849</v>
      </c>
      <c r="G190" s="68"/>
      <c r="H190" s="68">
        <f t="shared" si="18"/>
        <v>-1114.79499</v>
      </c>
      <c r="I190" s="73">
        <f t="shared" si="19"/>
        <v>5.98821737308445</v>
      </c>
      <c r="J190" s="58"/>
      <c r="L190" s="29"/>
    </row>
    <row r="191" spans="1:12" ht="80.25" customHeight="1">
      <c r="A191" s="27"/>
      <c r="B191" s="75" t="s">
        <v>356</v>
      </c>
      <c r="C191" s="63" t="s">
        <v>82</v>
      </c>
      <c r="D191" s="76">
        <v>0.31044</v>
      </c>
      <c r="E191" s="76"/>
      <c r="F191" s="76">
        <v>0.31044</v>
      </c>
      <c r="G191" s="68"/>
      <c r="H191" s="68">
        <f t="shared" si="18"/>
        <v>0</v>
      </c>
      <c r="I191" s="73">
        <f t="shared" si="19"/>
        <v>100</v>
      </c>
      <c r="J191" s="58"/>
      <c r="L191" s="29"/>
    </row>
    <row r="192" spans="1:12" ht="50.25" customHeight="1">
      <c r="A192" s="27"/>
      <c r="B192" s="75" t="s">
        <v>356</v>
      </c>
      <c r="C192" s="63" t="s">
        <v>184</v>
      </c>
      <c r="D192" s="76">
        <v>38.391</v>
      </c>
      <c r="E192" s="76"/>
      <c r="F192" s="76">
        <v>38.391</v>
      </c>
      <c r="G192" s="68"/>
      <c r="H192" s="68">
        <f t="shared" si="18"/>
        <v>0</v>
      </c>
      <c r="I192" s="73">
        <f t="shared" si="19"/>
        <v>100</v>
      </c>
      <c r="J192" s="58"/>
      <c r="L192" s="29"/>
    </row>
    <row r="193" spans="1:12" ht="32.25" customHeight="1">
      <c r="A193" s="27"/>
      <c r="B193" s="75" t="s">
        <v>358</v>
      </c>
      <c r="C193" s="63" t="s">
        <v>285</v>
      </c>
      <c r="D193" s="76">
        <f>637.30567+17.895+50</f>
        <v>705.20067</v>
      </c>
      <c r="E193" s="76"/>
      <c r="F193" s="76">
        <v>355.51567</v>
      </c>
      <c r="G193" s="68"/>
      <c r="H193" s="68">
        <f t="shared" si="18"/>
        <v>-349.68499999999995</v>
      </c>
      <c r="I193" s="73">
        <f t="shared" si="19"/>
        <v>50.41340502413306</v>
      </c>
      <c r="J193" s="58"/>
      <c r="L193" s="29"/>
    </row>
    <row r="194" spans="1:12" ht="80.25" customHeight="1">
      <c r="A194" s="27"/>
      <c r="B194" s="75" t="s">
        <v>358</v>
      </c>
      <c r="C194" s="63" t="s">
        <v>82</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358</v>
      </c>
      <c r="C195" s="63" t="s">
        <v>454</v>
      </c>
      <c r="D195" s="76">
        <v>10</v>
      </c>
      <c r="E195" s="76"/>
      <c r="F195" s="76">
        <v>0</v>
      </c>
      <c r="G195" s="68"/>
      <c r="H195" s="68">
        <f t="shared" si="18"/>
        <v>-10</v>
      </c>
      <c r="I195" s="73">
        <f t="shared" si="19"/>
        <v>0</v>
      </c>
      <c r="J195" s="58"/>
      <c r="L195" s="29"/>
    </row>
    <row r="196" spans="1:12" ht="20.25" customHeight="1">
      <c r="A196" s="27"/>
      <c r="B196" s="75" t="s">
        <v>375</v>
      </c>
      <c r="C196" s="63" t="s">
        <v>46</v>
      </c>
      <c r="D196" s="76">
        <v>9.98</v>
      </c>
      <c r="E196" s="76"/>
      <c r="F196" s="76">
        <v>9.98</v>
      </c>
      <c r="G196" s="68"/>
      <c r="H196" s="69">
        <f t="shared" si="18"/>
        <v>0</v>
      </c>
      <c r="I196" s="70">
        <f t="shared" si="19"/>
        <v>100</v>
      </c>
      <c r="J196" s="58"/>
      <c r="L196" s="29"/>
    </row>
    <row r="197" spans="1:12" ht="31.5">
      <c r="A197" s="27"/>
      <c r="B197" s="75" t="s">
        <v>376</v>
      </c>
      <c r="C197" s="63" t="s">
        <v>92</v>
      </c>
      <c r="D197" s="76">
        <v>7.04</v>
      </c>
      <c r="E197" s="76"/>
      <c r="F197" s="76">
        <v>7.04</v>
      </c>
      <c r="G197" s="68"/>
      <c r="H197" s="69">
        <f t="shared" si="18"/>
        <v>0</v>
      </c>
      <c r="I197" s="70">
        <f t="shared" si="19"/>
        <v>100</v>
      </c>
      <c r="J197" s="58"/>
      <c r="L197" s="29"/>
    </row>
    <row r="198" spans="1:12" ht="51" customHeight="1">
      <c r="A198" s="27"/>
      <c r="B198" s="66" t="s">
        <v>377</v>
      </c>
      <c r="C198" s="18" t="s">
        <v>286</v>
      </c>
      <c r="D198" s="67">
        <v>13.34</v>
      </c>
      <c r="E198" s="67"/>
      <c r="F198" s="67">
        <v>13.34</v>
      </c>
      <c r="G198" s="68"/>
      <c r="H198" s="69">
        <f t="shared" si="18"/>
        <v>0</v>
      </c>
      <c r="I198" s="70">
        <f t="shared" si="19"/>
        <v>100</v>
      </c>
      <c r="J198" s="58"/>
      <c r="L198" s="29"/>
    </row>
    <row r="199" spans="1:12" ht="31.5">
      <c r="A199" s="27"/>
      <c r="B199" s="66" t="s">
        <v>434</v>
      </c>
      <c r="C199" s="18" t="s">
        <v>108</v>
      </c>
      <c r="D199" s="67">
        <v>5.389</v>
      </c>
      <c r="E199" s="67"/>
      <c r="F199" s="67">
        <v>0</v>
      </c>
      <c r="G199" s="68"/>
      <c r="H199" s="69">
        <f t="shared" si="18"/>
        <v>-5.389</v>
      </c>
      <c r="I199" s="70">
        <f t="shared" si="19"/>
        <v>0</v>
      </c>
      <c r="J199" s="58"/>
      <c r="L199" s="29"/>
    </row>
    <row r="200" spans="1:12" ht="15.75">
      <c r="A200" s="27"/>
      <c r="B200" s="75" t="s">
        <v>83</v>
      </c>
      <c r="C200" s="74" t="s">
        <v>283</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365</v>
      </c>
      <c r="C201" s="74" t="s">
        <v>87</v>
      </c>
      <c r="D201" s="76">
        <v>63.32148</v>
      </c>
      <c r="E201" s="76"/>
      <c r="F201" s="76">
        <v>63.32149</v>
      </c>
      <c r="G201" s="68"/>
      <c r="H201" s="69">
        <f t="shared" si="18"/>
        <v>9.999999996068709E-06</v>
      </c>
      <c r="I201" s="70">
        <f t="shared" si="19"/>
        <v>100.00001579242937</v>
      </c>
      <c r="J201" s="58"/>
      <c r="L201" s="29"/>
    </row>
    <row r="202" spans="1:12" ht="63" hidden="1">
      <c r="A202" s="27"/>
      <c r="B202" s="75" t="s">
        <v>19</v>
      </c>
      <c r="C202" s="55" t="s">
        <v>238</v>
      </c>
      <c r="D202" s="76"/>
      <c r="E202" s="76"/>
      <c r="F202" s="76"/>
      <c r="G202" s="68"/>
      <c r="H202" s="68">
        <f t="shared" si="18"/>
        <v>0</v>
      </c>
      <c r="I202" s="73" t="e">
        <f t="shared" si="19"/>
        <v>#DIV/0!</v>
      </c>
      <c r="J202" s="58"/>
      <c r="L202" s="29"/>
    </row>
    <row r="203" spans="1:12" ht="78.75">
      <c r="A203" s="27"/>
      <c r="B203" s="75" t="s">
        <v>312</v>
      </c>
      <c r="C203" s="63" t="s">
        <v>82</v>
      </c>
      <c r="D203" s="76">
        <v>136.23885</v>
      </c>
      <c r="E203" s="76"/>
      <c r="F203" s="76">
        <v>136.23885</v>
      </c>
      <c r="G203" s="68"/>
      <c r="H203" s="68">
        <f t="shared" si="18"/>
        <v>0</v>
      </c>
      <c r="I203" s="73">
        <f t="shared" si="19"/>
        <v>100</v>
      </c>
      <c r="J203" s="58"/>
      <c r="L203" s="29"/>
    </row>
    <row r="204" spans="1:12" ht="15.75">
      <c r="A204" s="27"/>
      <c r="B204" s="64" t="s">
        <v>317</v>
      </c>
      <c r="C204" s="74" t="s">
        <v>287</v>
      </c>
      <c r="D204" s="71">
        <f>D205+D206+D207+D208+D209+D210+D211+D212+D213+D214+D215+D216</f>
        <v>12975.43917</v>
      </c>
      <c r="E204" s="71">
        <f>E205+E206+E207+E208+E209+E210+E211+E212+E213+E214+E215+E216</f>
        <v>0</v>
      </c>
      <c r="F204" s="71">
        <f>F205+F206+F207+F208+F209+F210+F211+F212+F213+F214+F215+F216</f>
        <v>2891.34746</v>
      </c>
      <c r="G204" s="5"/>
      <c r="H204" s="68">
        <f t="shared" si="18"/>
        <v>-10084.09171</v>
      </c>
      <c r="I204" s="73">
        <f t="shared" si="19"/>
        <v>22.283233901515796</v>
      </c>
      <c r="J204" s="58"/>
      <c r="L204" s="29"/>
    </row>
    <row r="205" spans="1:12" ht="63">
      <c r="A205" s="27"/>
      <c r="B205" s="48" t="s">
        <v>319</v>
      </c>
      <c r="C205" s="7" t="s">
        <v>50</v>
      </c>
      <c r="D205" s="61">
        <f>1030.175+300</f>
        <v>1330.175</v>
      </c>
      <c r="E205" s="13"/>
      <c r="F205" s="4">
        <v>888.44799</v>
      </c>
      <c r="G205" s="5"/>
      <c r="H205" s="69">
        <f t="shared" si="18"/>
        <v>-441.72700999999995</v>
      </c>
      <c r="I205" s="70">
        <f t="shared" si="19"/>
        <v>66.79181235551714</v>
      </c>
      <c r="J205" s="58"/>
      <c r="L205" s="29"/>
    </row>
    <row r="206" spans="1:12" ht="69" customHeight="1">
      <c r="A206" s="27"/>
      <c r="B206" s="64" t="s">
        <v>319</v>
      </c>
      <c r="C206" s="7" t="s">
        <v>49</v>
      </c>
      <c r="D206" s="71">
        <v>17.57387</v>
      </c>
      <c r="E206" s="13"/>
      <c r="F206" s="5">
        <v>12.57387</v>
      </c>
      <c r="G206" s="5"/>
      <c r="H206" s="68">
        <f t="shared" si="18"/>
        <v>-5</v>
      </c>
      <c r="I206" s="73">
        <f t="shared" si="19"/>
        <v>71.54866856304274</v>
      </c>
      <c r="J206" s="58"/>
      <c r="L206" s="29"/>
    </row>
    <row r="207" spans="1:12" ht="78.75">
      <c r="A207" s="27"/>
      <c r="B207" s="64" t="s">
        <v>319</v>
      </c>
      <c r="C207" s="63" t="s">
        <v>82</v>
      </c>
      <c r="D207" s="71">
        <v>415.61172</v>
      </c>
      <c r="E207" s="13"/>
      <c r="F207" s="5">
        <v>415.61172</v>
      </c>
      <c r="G207" s="5"/>
      <c r="H207" s="68">
        <f t="shared" si="18"/>
        <v>0</v>
      </c>
      <c r="I207" s="73">
        <f t="shared" si="19"/>
        <v>100</v>
      </c>
      <c r="J207" s="58"/>
      <c r="L207" s="29"/>
    </row>
    <row r="208" spans="1:12" ht="47.25">
      <c r="A208" s="27"/>
      <c r="B208" s="64" t="s">
        <v>40</v>
      </c>
      <c r="C208" s="55" t="s">
        <v>75</v>
      </c>
      <c r="D208" s="71">
        <v>463</v>
      </c>
      <c r="E208" s="13"/>
      <c r="F208" s="5">
        <v>50</v>
      </c>
      <c r="G208" s="5"/>
      <c r="H208" s="68">
        <f t="shared" si="18"/>
        <v>-413</v>
      </c>
      <c r="I208" s="73">
        <f t="shared" si="19"/>
        <v>10.799136069114471</v>
      </c>
      <c r="J208" s="58"/>
      <c r="L208" s="29"/>
    </row>
    <row r="209" spans="1:12" ht="47.25">
      <c r="A209" s="27"/>
      <c r="B209" s="64" t="s">
        <v>40</v>
      </c>
      <c r="C209" s="55" t="s">
        <v>91</v>
      </c>
      <c r="D209" s="71">
        <v>427.99884</v>
      </c>
      <c r="E209" s="13"/>
      <c r="F209" s="5">
        <v>285.31918</v>
      </c>
      <c r="G209" s="5"/>
      <c r="H209" s="68">
        <f t="shared" si="18"/>
        <v>-142.67965999999996</v>
      </c>
      <c r="I209" s="73">
        <f t="shared" si="19"/>
        <v>66.66354048996956</v>
      </c>
      <c r="J209" s="58"/>
      <c r="L209" s="29"/>
    </row>
    <row r="210" spans="1:12" ht="78.75">
      <c r="A210" s="27"/>
      <c r="B210" s="64" t="s">
        <v>40</v>
      </c>
      <c r="C210" s="63" t="s">
        <v>82</v>
      </c>
      <c r="D210" s="71">
        <v>424.19606</v>
      </c>
      <c r="E210" s="13"/>
      <c r="F210" s="5">
        <v>424.19606</v>
      </c>
      <c r="G210" s="5"/>
      <c r="H210" s="68">
        <f t="shared" si="18"/>
        <v>0</v>
      </c>
      <c r="I210" s="73">
        <f t="shared" si="19"/>
        <v>100</v>
      </c>
      <c r="J210" s="58"/>
      <c r="L210" s="29"/>
    </row>
    <row r="211" spans="1:12" ht="78.75">
      <c r="A211" s="27"/>
      <c r="B211" s="48" t="s">
        <v>15</v>
      </c>
      <c r="C211" s="55" t="s">
        <v>51</v>
      </c>
      <c r="D211" s="12">
        <f>800-55</f>
        <v>745</v>
      </c>
      <c r="E211" s="13"/>
      <c r="F211" s="4">
        <v>93.1</v>
      </c>
      <c r="G211" s="5"/>
      <c r="H211" s="69">
        <f t="shared" si="18"/>
        <v>-651.9</v>
      </c>
      <c r="I211" s="70">
        <f t="shared" si="19"/>
        <v>12.496644295302014</v>
      </c>
      <c r="J211" s="58"/>
      <c r="L211" s="29"/>
    </row>
    <row r="212" spans="1:12" ht="47.25" customHeight="1" hidden="1">
      <c r="A212" s="27"/>
      <c r="B212" s="48" t="s">
        <v>15</v>
      </c>
      <c r="C212" s="55" t="s">
        <v>88</v>
      </c>
      <c r="D212" s="12">
        <v>0</v>
      </c>
      <c r="E212" s="13"/>
      <c r="F212" s="4"/>
      <c r="G212" s="5"/>
      <c r="H212" s="69">
        <f t="shared" si="18"/>
        <v>0</v>
      </c>
      <c r="I212" s="70" t="e">
        <f t="shared" si="19"/>
        <v>#DIV/0!</v>
      </c>
      <c r="J212" s="58"/>
      <c r="L212" s="29"/>
    </row>
    <row r="213" spans="1:12" ht="47.25">
      <c r="A213" s="27"/>
      <c r="B213" s="48" t="s">
        <v>321</v>
      </c>
      <c r="C213" s="7" t="s">
        <v>52</v>
      </c>
      <c r="D213" s="12">
        <v>274.505</v>
      </c>
      <c r="E213" s="13"/>
      <c r="F213" s="4">
        <v>91.42899</v>
      </c>
      <c r="G213" s="5"/>
      <c r="H213" s="69">
        <f t="shared" si="18"/>
        <v>-183.07601</v>
      </c>
      <c r="I213" s="70">
        <f t="shared" si="19"/>
        <v>33.306857798582904</v>
      </c>
      <c r="J213" s="58"/>
      <c r="L213" s="29"/>
    </row>
    <row r="214" spans="1:12" ht="78.75">
      <c r="A214" s="27"/>
      <c r="B214" s="64" t="s">
        <v>321</v>
      </c>
      <c r="C214" s="63" t="s">
        <v>82</v>
      </c>
      <c r="D214" s="71">
        <f>129.00614+197.81</f>
        <v>326.81614</v>
      </c>
      <c r="E214" s="13"/>
      <c r="F214" s="5">
        <v>129.00614</v>
      </c>
      <c r="G214" s="5"/>
      <c r="H214" s="68">
        <f t="shared" si="18"/>
        <v>-197.81000000000003</v>
      </c>
      <c r="I214" s="73">
        <f t="shared" si="19"/>
        <v>39.473613512478295</v>
      </c>
      <c r="J214" s="58"/>
      <c r="L214" s="29"/>
    </row>
    <row r="215" spans="1:12" ht="78.75">
      <c r="A215" s="27"/>
      <c r="B215" s="64" t="s">
        <v>23</v>
      </c>
      <c r="C215" s="55" t="s">
        <v>84</v>
      </c>
      <c r="D215" s="71">
        <v>50.56254</v>
      </c>
      <c r="E215" s="13"/>
      <c r="F215" s="5">
        <v>50.56254</v>
      </c>
      <c r="G215" s="5"/>
      <c r="H215" s="68">
        <f t="shared" si="18"/>
        <v>0</v>
      </c>
      <c r="I215" s="73">
        <f t="shared" si="19"/>
        <v>100</v>
      </c>
      <c r="J215" s="58"/>
      <c r="L215" s="29"/>
    </row>
    <row r="216" spans="1:12" ht="63">
      <c r="A216" s="27"/>
      <c r="B216" s="64" t="s">
        <v>93</v>
      </c>
      <c r="C216" s="55" t="s">
        <v>94</v>
      </c>
      <c r="D216" s="71">
        <v>8500</v>
      </c>
      <c r="E216" s="13"/>
      <c r="F216" s="5">
        <v>451.10097</v>
      </c>
      <c r="G216" s="5"/>
      <c r="H216" s="68">
        <f t="shared" si="18"/>
        <v>-8048.89903</v>
      </c>
      <c r="I216" s="73">
        <f t="shared" si="19"/>
        <v>5.307070235294118</v>
      </c>
      <c r="J216" s="58"/>
      <c r="L216" s="29"/>
    </row>
    <row r="217" spans="1:12" ht="31.5" customHeight="1">
      <c r="A217" s="22" t="s">
        <v>328</v>
      </c>
      <c r="B217" s="72" t="s">
        <v>335</v>
      </c>
      <c r="C217" s="63" t="s">
        <v>242</v>
      </c>
      <c r="D217" s="71">
        <f>D218+D219+D222+D221+D220</f>
        <v>290.269</v>
      </c>
      <c r="E217" s="71">
        <f>E218+E219+E222+E221+E220</f>
        <v>0</v>
      </c>
      <c r="F217" s="71">
        <f>F218+F219+F222+F221+F220</f>
        <v>105.569</v>
      </c>
      <c r="G217" s="5" t="e">
        <f>F217-#REF!</f>
        <v>#REF!</v>
      </c>
      <c r="H217" s="68">
        <f t="shared" si="18"/>
        <v>-184.7</v>
      </c>
      <c r="I217" s="73">
        <f t="shared" si="19"/>
        <v>36.36936772442114</v>
      </c>
      <c r="J217" s="58"/>
      <c r="L217" s="29"/>
    </row>
    <row r="218" spans="1:12" ht="20.25" customHeight="1">
      <c r="A218" s="17" t="s">
        <v>343</v>
      </c>
      <c r="B218" s="48" t="s">
        <v>444</v>
      </c>
      <c r="C218" s="24" t="s">
        <v>243</v>
      </c>
      <c r="D218" s="12">
        <v>24.7</v>
      </c>
      <c r="E218" s="13"/>
      <c r="F218" s="4">
        <v>4.7</v>
      </c>
      <c r="G218" s="5"/>
      <c r="H218" s="69">
        <f aca="true" t="shared" si="20" ref="H218:H251">F218-D218</f>
        <v>-20</v>
      </c>
      <c r="I218" s="70">
        <f aca="true" t="shared" si="21" ref="I218:I251">F218/D218*100</f>
        <v>19.028340080971663</v>
      </c>
      <c r="J218" s="58"/>
      <c r="L218" s="29"/>
    </row>
    <row r="219" spans="1:12" ht="17.25" customHeight="1">
      <c r="A219" s="17" t="s">
        <v>359</v>
      </c>
      <c r="B219" s="48" t="s">
        <v>445</v>
      </c>
      <c r="C219" s="24" t="s">
        <v>244</v>
      </c>
      <c r="D219" s="12">
        <v>11.369</v>
      </c>
      <c r="E219" s="13"/>
      <c r="F219" s="4">
        <v>6.369</v>
      </c>
      <c r="G219" s="5"/>
      <c r="H219" s="69">
        <f t="shared" si="20"/>
        <v>-5</v>
      </c>
      <c r="I219" s="70">
        <f t="shared" si="21"/>
        <v>56.0207582021286</v>
      </c>
      <c r="J219" s="58"/>
      <c r="L219" s="29"/>
    </row>
    <row r="220" spans="1:12" ht="36" customHeight="1">
      <c r="A220" s="17"/>
      <c r="B220" s="48" t="s">
        <v>446</v>
      </c>
      <c r="C220" s="24" t="s">
        <v>205</v>
      </c>
      <c r="D220" s="12">
        <v>239.2</v>
      </c>
      <c r="E220" s="13"/>
      <c r="F220" s="4">
        <v>85.854</v>
      </c>
      <c r="G220" s="5"/>
      <c r="H220" s="69">
        <f t="shared" si="20"/>
        <v>-153.346</v>
      </c>
      <c r="I220" s="70">
        <f t="shared" si="21"/>
        <v>35.892140468227424</v>
      </c>
      <c r="J220" s="58"/>
      <c r="L220" s="29"/>
    </row>
    <row r="221" spans="1:12" ht="56.25" customHeight="1">
      <c r="A221" s="17"/>
      <c r="B221" s="48" t="s">
        <v>424</v>
      </c>
      <c r="C221" s="24" t="s">
        <v>245</v>
      </c>
      <c r="D221" s="12">
        <v>5</v>
      </c>
      <c r="E221" s="13"/>
      <c r="F221" s="4">
        <v>5</v>
      </c>
      <c r="G221" s="5"/>
      <c r="H221" s="69">
        <f t="shared" si="20"/>
        <v>0</v>
      </c>
      <c r="I221" s="70">
        <f t="shared" si="21"/>
        <v>100</v>
      </c>
      <c r="J221" s="58"/>
      <c r="L221" s="29"/>
    </row>
    <row r="222" spans="1:12" ht="31.5" customHeight="1">
      <c r="A222" s="17" t="s">
        <v>359</v>
      </c>
      <c r="B222" s="48" t="s">
        <v>424</v>
      </c>
      <c r="C222" s="24" t="s">
        <v>246</v>
      </c>
      <c r="D222" s="12">
        <v>10</v>
      </c>
      <c r="E222" s="13"/>
      <c r="F222" s="4">
        <v>3.646</v>
      </c>
      <c r="G222" s="5"/>
      <c r="H222" s="69">
        <f t="shared" si="20"/>
        <v>-6.354</v>
      </c>
      <c r="I222" s="70">
        <f t="shared" si="21"/>
        <v>36.46</v>
      </c>
      <c r="J222" s="58"/>
      <c r="L222" s="29"/>
    </row>
    <row r="223" spans="1:12" ht="15.75">
      <c r="A223" s="17"/>
      <c r="B223" s="64" t="s">
        <v>324</v>
      </c>
      <c r="C223" s="55" t="s">
        <v>247</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325</v>
      </c>
      <c r="C224" s="87" t="s">
        <v>248</v>
      </c>
      <c r="D224" s="71">
        <v>70</v>
      </c>
      <c r="E224" s="13"/>
      <c r="F224" s="5">
        <v>0</v>
      </c>
      <c r="G224" s="5"/>
      <c r="H224" s="68">
        <f t="shared" si="20"/>
        <v>-70</v>
      </c>
      <c r="I224" s="73">
        <f t="shared" si="21"/>
        <v>0</v>
      </c>
      <c r="J224" s="58"/>
      <c r="L224" s="29"/>
    </row>
    <row r="225" spans="1:12" ht="81.75" customHeight="1">
      <c r="A225" s="17"/>
      <c r="B225" s="64" t="s">
        <v>325</v>
      </c>
      <c r="C225" s="63" t="s">
        <v>82</v>
      </c>
      <c r="D225" s="71">
        <v>92.718</v>
      </c>
      <c r="E225" s="13"/>
      <c r="F225" s="5">
        <v>0</v>
      </c>
      <c r="G225" s="5"/>
      <c r="H225" s="68">
        <f t="shared" si="20"/>
        <v>-92.718</v>
      </c>
      <c r="I225" s="73">
        <f t="shared" si="21"/>
        <v>0</v>
      </c>
      <c r="J225" s="58"/>
      <c r="L225" s="29"/>
    </row>
    <row r="226" spans="1:12" ht="15.75">
      <c r="A226" s="17"/>
      <c r="B226" s="64" t="s">
        <v>180</v>
      </c>
      <c r="C226" s="55" t="s">
        <v>249</v>
      </c>
      <c r="D226" s="6">
        <f>D227+D228+D230+D229</f>
        <v>6057.51986</v>
      </c>
      <c r="E226" s="6">
        <f>E227+E228+E230+E229</f>
        <v>0</v>
      </c>
      <c r="F226" s="6">
        <f>F227+F228+F230+F229</f>
        <v>1187.83583</v>
      </c>
      <c r="G226" s="5">
        <f>F226-L218</f>
        <v>1187.83583</v>
      </c>
      <c r="H226" s="68">
        <f t="shared" si="20"/>
        <v>-4869.68403</v>
      </c>
      <c r="I226" s="73">
        <f t="shared" si="21"/>
        <v>19.609276691665688</v>
      </c>
      <c r="J226" s="58"/>
      <c r="L226" s="29"/>
    </row>
    <row r="227" spans="1:12" ht="57.75" customHeight="1">
      <c r="A227" s="17"/>
      <c r="B227" s="64" t="s">
        <v>421</v>
      </c>
      <c r="C227" s="55" t="s">
        <v>53</v>
      </c>
      <c r="D227" s="6">
        <f>521.714+1344.37986-200-50</f>
        <v>1616.09386</v>
      </c>
      <c r="E227" s="6"/>
      <c r="F227" s="5">
        <f>68.214+550.38315</f>
        <v>618.59715</v>
      </c>
      <c r="G227" s="5"/>
      <c r="H227" s="68">
        <f t="shared" si="20"/>
        <v>-997.4967099999999</v>
      </c>
      <c r="I227" s="73">
        <f t="shared" si="21"/>
        <v>38.27730339870236</v>
      </c>
      <c r="J227" s="58"/>
      <c r="L227" s="29"/>
    </row>
    <row r="228" spans="1:12" ht="53.25" customHeight="1">
      <c r="A228" s="17"/>
      <c r="B228" s="64" t="s">
        <v>421</v>
      </c>
      <c r="C228" s="55" t="s">
        <v>54</v>
      </c>
      <c r="D228" s="6">
        <f>330+108.5</f>
        <v>438.5</v>
      </c>
      <c r="E228" s="6"/>
      <c r="F228" s="5">
        <f>319.669+49.56968</f>
        <v>369.23868</v>
      </c>
      <c r="G228" s="5"/>
      <c r="H228" s="68">
        <f t="shared" si="20"/>
        <v>-69.26132000000001</v>
      </c>
      <c r="I228" s="73">
        <f t="shared" si="21"/>
        <v>84.20494412770809</v>
      </c>
      <c r="J228" s="58"/>
      <c r="L228" s="29"/>
    </row>
    <row r="229" spans="1:12" ht="84.75" customHeight="1">
      <c r="A229" s="17"/>
      <c r="B229" s="64" t="s">
        <v>421</v>
      </c>
      <c r="C229" s="63" t="s">
        <v>82</v>
      </c>
      <c r="D229" s="6">
        <v>4000.3</v>
      </c>
      <c r="E229" s="6"/>
      <c r="F229" s="5">
        <v>200</v>
      </c>
      <c r="G229" s="5"/>
      <c r="H229" s="68">
        <f>F229-D229</f>
        <v>-3800.3</v>
      </c>
      <c r="I229" s="73">
        <f>F229/D229*100</f>
        <v>4.999625028122891</v>
      </c>
      <c r="J229" s="58"/>
      <c r="L229" s="29"/>
    </row>
    <row r="230" spans="1:12" ht="60" customHeight="1">
      <c r="A230" s="17"/>
      <c r="B230" s="64" t="s">
        <v>206</v>
      </c>
      <c r="C230" s="55" t="s">
        <v>53</v>
      </c>
      <c r="D230" s="6">
        <v>2.626</v>
      </c>
      <c r="E230" s="6"/>
      <c r="F230" s="5">
        <v>0</v>
      </c>
      <c r="G230" s="5"/>
      <c r="H230" s="68">
        <f t="shared" si="20"/>
        <v>-2.626</v>
      </c>
      <c r="I230" s="73">
        <f t="shared" si="21"/>
        <v>0</v>
      </c>
      <c r="J230" s="58"/>
      <c r="L230" s="29"/>
    </row>
    <row r="231" spans="1:12" ht="47.25">
      <c r="A231" s="17"/>
      <c r="B231" s="64" t="s">
        <v>334</v>
      </c>
      <c r="C231" s="55" t="s">
        <v>55</v>
      </c>
      <c r="D231" s="6">
        <f>D232+D233+D234</f>
        <v>2374.0887000000002</v>
      </c>
      <c r="E231" s="6">
        <f>E232+E233+E234</f>
        <v>106</v>
      </c>
      <c r="F231" s="6">
        <f>F232+F233+F234</f>
        <v>647.61938</v>
      </c>
      <c r="G231" s="5"/>
      <c r="H231" s="68">
        <f t="shared" si="20"/>
        <v>-1726.4693200000002</v>
      </c>
      <c r="I231" s="73">
        <f t="shared" si="21"/>
        <v>27.278651383160195</v>
      </c>
      <c r="J231" s="58"/>
      <c r="L231" s="29"/>
    </row>
    <row r="232" spans="1:12" ht="54.75" customHeight="1">
      <c r="A232" s="17"/>
      <c r="B232" s="64" t="s">
        <v>334</v>
      </c>
      <c r="C232" s="55" t="s">
        <v>405</v>
      </c>
      <c r="D232" s="6">
        <v>1586.631</v>
      </c>
      <c r="E232" s="6"/>
      <c r="F232" s="5">
        <v>373.60782</v>
      </c>
      <c r="G232" s="5"/>
      <c r="H232" s="68">
        <f t="shared" si="20"/>
        <v>-1213.0231800000001</v>
      </c>
      <c r="I232" s="73">
        <f t="shared" si="21"/>
        <v>23.547240662762796</v>
      </c>
      <c r="J232" s="58"/>
      <c r="L232" s="29"/>
    </row>
    <row r="233" spans="1:12" ht="47.25">
      <c r="A233" s="17"/>
      <c r="B233" s="64" t="s">
        <v>334</v>
      </c>
      <c r="C233" s="55" t="s">
        <v>406</v>
      </c>
      <c r="D233" s="6">
        <v>693.454</v>
      </c>
      <c r="E233" s="6"/>
      <c r="F233" s="5">
        <v>209.54079</v>
      </c>
      <c r="G233" s="5"/>
      <c r="H233" s="68">
        <f t="shared" si="20"/>
        <v>-483.91320999999994</v>
      </c>
      <c r="I233" s="73">
        <f t="shared" si="21"/>
        <v>30.21697041188024</v>
      </c>
      <c r="J233" s="58"/>
      <c r="L233" s="29"/>
    </row>
    <row r="234" spans="1:12" ht="71.25" customHeight="1">
      <c r="A234" s="17"/>
      <c r="B234" s="64" t="s">
        <v>334</v>
      </c>
      <c r="C234" s="55" t="s">
        <v>36</v>
      </c>
      <c r="D234" s="6">
        <v>94.0037</v>
      </c>
      <c r="E234" s="6">
        <v>106</v>
      </c>
      <c r="F234" s="5">
        <v>64.47077</v>
      </c>
      <c r="G234" s="5" t="e">
        <f>F234-#REF!</f>
        <v>#REF!</v>
      </c>
      <c r="H234" s="68">
        <f t="shared" si="20"/>
        <v>-29.532929999999993</v>
      </c>
      <c r="I234" s="73">
        <f t="shared" si="21"/>
        <v>68.58322597940294</v>
      </c>
      <c r="J234" s="58"/>
      <c r="L234" s="29"/>
    </row>
    <row r="235" spans="1:12" ht="31.5">
      <c r="A235" s="17"/>
      <c r="B235" s="64" t="s">
        <v>43</v>
      </c>
      <c r="C235" s="63" t="s">
        <v>197</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435</v>
      </c>
      <c r="C236" s="7" t="s">
        <v>67</v>
      </c>
      <c r="D236" s="1">
        <f>247.47-58</f>
        <v>189.47</v>
      </c>
      <c r="E236" s="6"/>
      <c r="F236" s="4">
        <v>129.47</v>
      </c>
      <c r="G236" s="5"/>
      <c r="H236" s="69">
        <f t="shared" si="20"/>
        <v>-60</v>
      </c>
      <c r="I236" s="70">
        <f t="shared" si="21"/>
        <v>68.33271758061962</v>
      </c>
      <c r="J236" s="58"/>
      <c r="L236" s="29"/>
    </row>
    <row r="237" spans="1:12" ht="47.25" hidden="1">
      <c r="A237" s="17"/>
      <c r="B237" s="48" t="s">
        <v>435</v>
      </c>
      <c r="C237" s="63" t="s">
        <v>69</v>
      </c>
      <c r="D237" s="1">
        <v>0</v>
      </c>
      <c r="E237" s="6"/>
      <c r="F237" s="4"/>
      <c r="G237" s="5"/>
      <c r="H237" s="69">
        <f t="shared" si="20"/>
        <v>0</v>
      </c>
      <c r="I237" s="70" t="e">
        <f t="shared" si="21"/>
        <v>#DIV/0!</v>
      </c>
      <c r="J237" s="58"/>
      <c r="L237" s="29"/>
    </row>
    <row r="238" spans="1:12" ht="47.25">
      <c r="A238" s="17"/>
      <c r="B238" s="48" t="s">
        <v>435</v>
      </c>
      <c r="C238" s="65" t="s">
        <v>73</v>
      </c>
      <c r="D238" s="1">
        <f>320.66947+53</f>
        <v>373.66947</v>
      </c>
      <c r="E238" s="6"/>
      <c r="F238" s="4">
        <v>368.77347</v>
      </c>
      <c r="G238" s="5"/>
      <c r="H238" s="69">
        <f t="shared" si="20"/>
        <v>-4.896000000000015</v>
      </c>
      <c r="I238" s="70">
        <f t="shared" si="21"/>
        <v>98.68975113219712</v>
      </c>
      <c r="J238" s="58"/>
      <c r="L238" s="29"/>
    </row>
    <row r="239" spans="1:12" ht="31.5">
      <c r="A239" s="17"/>
      <c r="B239" s="72" t="s">
        <v>465</v>
      </c>
      <c r="C239" s="55" t="s">
        <v>250</v>
      </c>
      <c r="D239" s="6">
        <f>D240+D241</f>
        <v>39</v>
      </c>
      <c r="E239" s="6">
        <f>E240+E241</f>
        <v>0</v>
      </c>
      <c r="F239" s="6">
        <f>F240+F241</f>
        <v>0</v>
      </c>
      <c r="G239" s="5"/>
      <c r="H239" s="68">
        <f t="shared" si="20"/>
        <v>-39</v>
      </c>
      <c r="I239" s="73">
        <f t="shared" si="21"/>
        <v>0</v>
      </c>
      <c r="J239" s="58"/>
      <c r="L239" s="29"/>
    </row>
    <row r="240" spans="1:12" ht="69" customHeight="1">
      <c r="A240" s="17"/>
      <c r="B240" s="72" t="s">
        <v>347</v>
      </c>
      <c r="C240" s="55" t="s">
        <v>252</v>
      </c>
      <c r="D240" s="6">
        <v>35.5</v>
      </c>
      <c r="E240" s="6"/>
      <c r="F240" s="6">
        <v>0</v>
      </c>
      <c r="G240" s="5"/>
      <c r="H240" s="68">
        <f t="shared" si="20"/>
        <v>-35.5</v>
      </c>
      <c r="I240" s="73">
        <f t="shared" si="21"/>
        <v>0</v>
      </c>
      <c r="J240" s="58"/>
      <c r="L240" s="29"/>
    </row>
    <row r="241" spans="1:12" ht="31.5">
      <c r="A241" s="17"/>
      <c r="B241" s="72" t="s">
        <v>339</v>
      </c>
      <c r="C241" s="55" t="s">
        <v>189</v>
      </c>
      <c r="D241" s="6">
        <v>3.5</v>
      </c>
      <c r="E241" s="6"/>
      <c r="F241" s="6">
        <v>0</v>
      </c>
      <c r="G241" s="5"/>
      <c r="H241" s="68">
        <f t="shared" si="20"/>
        <v>-3.5</v>
      </c>
      <c r="I241" s="73">
        <f t="shared" si="21"/>
        <v>0</v>
      </c>
      <c r="J241" s="58"/>
      <c r="L241" s="29"/>
    </row>
    <row r="242" spans="1:12" ht="31.5">
      <c r="A242" s="17"/>
      <c r="B242" s="72" t="s">
        <v>71</v>
      </c>
      <c r="C242" s="55" t="s">
        <v>253</v>
      </c>
      <c r="D242" s="6">
        <f>D243+D244</f>
        <v>220.03186</v>
      </c>
      <c r="E242" s="6">
        <f>E243+E244</f>
        <v>10</v>
      </c>
      <c r="F242" s="6">
        <f>F243+F244</f>
        <v>63.2803</v>
      </c>
      <c r="G242" s="5"/>
      <c r="H242" s="68">
        <f t="shared" si="20"/>
        <v>-156.75155999999998</v>
      </c>
      <c r="I242" s="73">
        <f t="shared" si="21"/>
        <v>28.75960781315942</v>
      </c>
      <c r="J242" s="58"/>
      <c r="L242" s="29"/>
    </row>
    <row r="243" spans="1:12" ht="69.75" customHeight="1">
      <c r="A243" s="17"/>
      <c r="B243" s="49" t="s">
        <v>438</v>
      </c>
      <c r="C243" s="7" t="s">
        <v>37</v>
      </c>
      <c r="D243" s="1">
        <v>220.03186</v>
      </c>
      <c r="E243" s="6">
        <v>10</v>
      </c>
      <c r="F243" s="1">
        <v>63.2803</v>
      </c>
      <c r="G243" s="5" t="e">
        <f>F243-#REF!</f>
        <v>#REF!</v>
      </c>
      <c r="H243" s="69">
        <f t="shared" si="20"/>
        <v>-156.75155999999998</v>
      </c>
      <c r="I243" s="70">
        <f t="shared" si="21"/>
        <v>28.75960781315942</v>
      </c>
      <c r="J243" s="58"/>
      <c r="L243" s="29"/>
    </row>
    <row r="244" spans="1:12" ht="63" hidden="1">
      <c r="A244" s="17"/>
      <c r="B244" s="49" t="s">
        <v>70</v>
      </c>
      <c r="C244" s="7" t="s">
        <v>37</v>
      </c>
      <c r="D244" s="1">
        <v>0</v>
      </c>
      <c r="E244" s="6"/>
      <c r="F244" s="1"/>
      <c r="G244" s="5"/>
      <c r="H244" s="69">
        <f t="shared" si="20"/>
        <v>0</v>
      </c>
      <c r="I244" s="70" t="e">
        <f t="shared" si="21"/>
        <v>#DIV/0!</v>
      </c>
      <c r="J244" s="58"/>
      <c r="L244" s="29"/>
    </row>
    <row r="245" spans="1:12" ht="15.75">
      <c r="A245" s="17"/>
      <c r="B245" s="72" t="s">
        <v>479</v>
      </c>
      <c r="C245" s="55" t="s">
        <v>254</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479</v>
      </c>
      <c r="C246" s="7" t="s">
        <v>255</v>
      </c>
      <c r="D246" s="1">
        <v>130.05701</v>
      </c>
      <c r="E246" s="6"/>
      <c r="F246" s="1">
        <v>130.05701</v>
      </c>
      <c r="G246" s="5"/>
      <c r="H246" s="69">
        <f t="shared" si="20"/>
        <v>0</v>
      </c>
      <c r="I246" s="70">
        <f t="shared" si="21"/>
        <v>100</v>
      </c>
      <c r="J246" s="58"/>
      <c r="L246" s="29"/>
    </row>
    <row r="247" spans="1:12" ht="31.5">
      <c r="A247" s="17"/>
      <c r="B247" s="49" t="s">
        <v>479</v>
      </c>
      <c r="C247" s="7" t="s">
        <v>256</v>
      </c>
      <c r="D247" s="1">
        <v>11.9484</v>
      </c>
      <c r="E247" s="6"/>
      <c r="F247" s="1">
        <v>11.9484</v>
      </c>
      <c r="G247" s="5"/>
      <c r="H247" s="69">
        <f t="shared" si="20"/>
        <v>0</v>
      </c>
      <c r="I247" s="70">
        <f t="shared" si="21"/>
        <v>100</v>
      </c>
      <c r="J247" s="58"/>
      <c r="L247" s="29"/>
    </row>
    <row r="248" spans="1:12" ht="31.5">
      <c r="A248" s="17"/>
      <c r="B248" s="49" t="s">
        <v>479</v>
      </c>
      <c r="C248" s="7" t="s">
        <v>190</v>
      </c>
      <c r="D248" s="1">
        <v>32.9</v>
      </c>
      <c r="E248" s="6"/>
      <c r="F248" s="1">
        <v>0</v>
      </c>
      <c r="G248" s="5"/>
      <c r="H248" s="69">
        <f t="shared" si="20"/>
        <v>-32.9</v>
      </c>
      <c r="I248" s="70">
        <f t="shared" si="21"/>
        <v>0</v>
      </c>
      <c r="J248" s="58"/>
      <c r="L248" s="29"/>
    </row>
    <row r="249" spans="1:12" ht="31.5">
      <c r="A249" s="17"/>
      <c r="B249" s="49" t="s">
        <v>479</v>
      </c>
      <c r="C249" s="7" t="s">
        <v>257</v>
      </c>
      <c r="D249" s="1">
        <v>51</v>
      </c>
      <c r="E249" s="6"/>
      <c r="F249" s="1">
        <v>37.335</v>
      </c>
      <c r="G249" s="5"/>
      <c r="H249" s="69">
        <f t="shared" si="20"/>
        <v>-13.665</v>
      </c>
      <c r="I249" s="70">
        <f t="shared" si="21"/>
        <v>73.20588235294117</v>
      </c>
      <c r="J249" s="58"/>
      <c r="L249" s="29"/>
    </row>
    <row r="250" spans="1:12" ht="31.5" hidden="1">
      <c r="A250" s="17"/>
      <c r="B250" s="49" t="s">
        <v>479</v>
      </c>
      <c r="C250" s="7" t="s">
        <v>258</v>
      </c>
      <c r="D250" s="1"/>
      <c r="E250" s="6"/>
      <c r="F250" s="1"/>
      <c r="G250" s="5"/>
      <c r="H250" s="69">
        <f t="shared" si="20"/>
        <v>0</v>
      </c>
      <c r="I250" s="70" t="e">
        <f t="shared" si="21"/>
        <v>#DIV/0!</v>
      </c>
      <c r="J250" s="58"/>
      <c r="L250" s="29"/>
    </row>
    <row r="251" spans="1:12" ht="15.75">
      <c r="A251" s="17"/>
      <c r="B251" s="72" t="s">
        <v>466</v>
      </c>
      <c r="C251" s="55" t="s">
        <v>259</v>
      </c>
      <c r="D251" s="6">
        <f>D252+D259+D253+D256+D257+D258+D254+D255</f>
        <v>403.1900000000004</v>
      </c>
      <c r="E251" s="6">
        <f>E252+E259+E253+E256+E257+E258+E254+E255</f>
        <v>0</v>
      </c>
      <c r="F251" s="6">
        <f>F252+F259+F253+F256+F257+F258+F254+F255</f>
        <v>268.98</v>
      </c>
      <c r="G251" s="5"/>
      <c r="H251" s="68">
        <f t="shared" si="20"/>
        <v>-134.21000000000038</v>
      </c>
      <c r="I251" s="73">
        <f t="shared" si="21"/>
        <v>66.71296411121301</v>
      </c>
      <c r="J251" s="58"/>
      <c r="L251" s="29"/>
    </row>
    <row r="252" spans="1:12" ht="63">
      <c r="A252" s="17" t="s">
        <v>318</v>
      </c>
      <c r="B252" s="48" t="s">
        <v>467</v>
      </c>
      <c r="C252" s="3" t="s">
        <v>191</v>
      </c>
      <c r="D252" s="12">
        <v>250</v>
      </c>
      <c r="E252" s="13"/>
      <c r="F252" s="4">
        <v>250</v>
      </c>
      <c r="G252" s="5"/>
      <c r="H252" s="69">
        <f aca="true" t="shared" si="22" ref="H252:H284">F252-D252</f>
        <v>0</v>
      </c>
      <c r="I252" s="70">
        <f aca="true" t="shared" si="23" ref="I252:I284">F252/D252*100</f>
        <v>100</v>
      </c>
      <c r="J252" s="58"/>
      <c r="L252" s="29"/>
    </row>
    <row r="253" spans="1:12" ht="83.25" customHeight="1">
      <c r="A253" s="22"/>
      <c r="B253" s="49" t="s">
        <v>467</v>
      </c>
      <c r="C253" s="3" t="s">
        <v>278</v>
      </c>
      <c r="D253" s="1">
        <v>110</v>
      </c>
      <c r="E253" s="6"/>
      <c r="F253" s="1">
        <v>0</v>
      </c>
      <c r="G253" s="5"/>
      <c r="H253" s="69">
        <f t="shared" si="22"/>
        <v>-110</v>
      </c>
      <c r="I253" s="70">
        <f t="shared" si="23"/>
        <v>0</v>
      </c>
      <c r="J253" s="2"/>
      <c r="L253" s="40"/>
    </row>
    <row r="254" spans="1:12" ht="63">
      <c r="A254" s="22"/>
      <c r="B254" s="49" t="s">
        <v>467</v>
      </c>
      <c r="C254" s="3" t="s">
        <v>279</v>
      </c>
      <c r="D254" s="1">
        <v>2.5</v>
      </c>
      <c r="E254" s="6"/>
      <c r="F254" s="1">
        <v>0</v>
      </c>
      <c r="G254" s="5"/>
      <c r="H254" s="69">
        <f t="shared" si="22"/>
        <v>-2.5</v>
      </c>
      <c r="I254" s="70">
        <f t="shared" si="23"/>
        <v>0</v>
      </c>
      <c r="J254" s="2"/>
      <c r="L254" s="40"/>
    </row>
    <row r="255" spans="1:12" ht="83.25" customHeight="1">
      <c r="A255" s="22"/>
      <c r="B255" s="49" t="s">
        <v>467</v>
      </c>
      <c r="C255" s="3" t="s">
        <v>185</v>
      </c>
      <c r="D255" s="1">
        <v>18</v>
      </c>
      <c r="E255" s="6"/>
      <c r="F255" s="1">
        <v>0</v>
      </c>
      <c r="G255" s="5"/>
      <c r="H255" s="69">
        <f t="shared" si="22"/>
        <v>-18</v>
      </c>
      <c r="I255" s="70">
        <f t="shared" si="23"/>
        <v>0</v>
      </c>
      <c r="J255" s="2"/>
      <c r="L255" s="40"/>
    </row>
    <row r="256" spans="1:12" ht="78.75">
      <c r="A256" s="22"/>
      <c r="B256" s="49" t="s">
        <v>467</v>
      </c>
      <c r="C256" s="55" t="s">
        <v>274</v>
      </c>
      <c r="D256" s="1">
        <v>3.69</v>
      </c>
      <c r="E256" s="6"/>
      <c r="F256" s="1">
        <v>3.69</v>
      </c>
      <c r="G256" s="5"/>
      <c r="H256" s="69">
        <f t="shared" si="22"/>
        <v>0</v>
      </c>
      <c r="I256" s="70">
        <f t="shared" si="23"/>
        <v>100</v>
      </c>
      <c r="J256" s="2"/>
      <c r="L256" s="40"/>
    </row>
    <row r="257" spans="1:12" ht="0.75" customHeight="1" hidden="1">
      <c r="A257" s="22"/>
      <c r="B257" s="49" t="s">
        <v>467</v>
      </c>
      <c r="C257" s="55" t="s">
        <v>275</v>
      </c>
      <c r="D257" s="1"/>
      <c r="E257" s="6"/>
      <c r="F257" s="1"/>
      <c r="G257" s="5"/>
      <c r="H257" s="69">
        <f t="shared" si="22"/>
        <v>0</v>
      </c>
      <c r="I257" s="70" t="e">
        <f t="shared" si="23"/>
        <v>#DIV/0!</v>
      </c>
      <c r="J257" s="2"/>
      <c r="L257" s="40"/>
    </row>
    <row r="258" spans="1:12" ht="78.75">
      <c r="A258" s="22"/>
      <c r="B258" s="49" t="s">
        <v>467</v>
      </c>
      <c r="C258" s="47" t="s">
        <v>186</v>
      </c>
      <c r="D258" s="1">
        <v>19</v>
      </c>
      <c r="E258" s="6"/>
      <c r="F258" s="1">
        <v>15.29</v>
      </c>
      <c r="G258" s="5"/>
      <c r="H258" s="69">
        <f t="shared" si="22"/>
        <v>-3.710000000000001</v>
      </c>
      <c r="I258" s="70">
        <f t="shared" si="23"/>
        <v>80.47368421052632</v>
      </c>
      <c r="J258" s="2"/>
      <c r="L258" s="40"/>
    </row>
    <row r="259" spans="1:12" ht="66.75" customHeight="1" hidden="1">
      <c r="A259" s="22" t="s">
        <v>308</v>
      </c>
      <c r="B259" s="72" t="s">
        <v>72</v>
      </c>
      <c r="C259" s="74" t="s">
        <v>74</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474</v>
      </c>
      <c r="D260" s="71">
        <f>D262+D264+D270+D273+D277</f>
        <v>4025.9499500000006</v>
      </c>
      <c r="E260" s="71">
        <f>E262+E264+E270+E273+E277</f>
        <v>19</v>
      </c>
      <c r="F260" s="71">
        <f>F262+F264+F270+F273+F277</f>
        <v>1836.6407800000002</v>
      </c>
      <c r="G260" s="71" t="e">
        <f>#REF!+#REF!+#REF!+#REF!+#REF!+#REF!+#REF!+#REF!</f>
        <v>#REF!</v>
      </c>
      <c r="H260" s="68">
        <f t="shared" si="22"/>
        <v>-2189.3091700000004</v>
      </c>
      <c r="I260" s="73">
        <f t="shared" si="23"/>
        <v>45.620059931445496</v>
      </c>
      <c r="J260" s="59"/>
      <c r="L260" s="105"/>
    </row>
    <row r="261" spans="1:12" ht="15.75" hidden="1">
      <c r="A261" s="27" t="s">
        <v>295</v>
      </c>
      <c r="B261" s="64" t="s">
        <v>296</v>
      </c>
      <c r="C261" s="80" t="s">
        <v>392</v>
      </c>
      <c r="D261" s="71"/>
      <c r="E261" s="71"/>
      <c r="F261" s="71"/>
      <c r="G261" s="71"/>
      <c r="H261" s="68">
        <f t="shared" si="22"/>
        <v>0</v>
      </c>
      <c r="I261" s="73" t="e">
        <f t="shared" si="23"/>
        <v>#DIV/0!</v>
      </c>
      <c r="J261" s="2"/>
      <c r="L261" s="40"/>
    </row>
    <row r="262" spans="1:12" ht="20.25" customHeight="1">
      <c r="A262" s="27" t="s">
        <v>295</v>
      </c>
      <c r="B262" s="64" t="s">
        <v>296</v>
      </c>
      <c r="C262" s="74" t="s">
        <v>38</v>
      </c>
      <c r="D262" s="71">
        <v>75.8022</v>
      </c>
      <c r="E262" s="71"/>
      <c r="F262" s="71">
        <v>40.3022</v>
      </c>
      <c r="G262" s="71"/>
      <c r="H262" s="68">
        <f t="shared" si="22"/>
        <v>-35.5</v>
      </c>
      <c r="I262" s="73">
        <f t="shared" si="23"/>
        <v>53.16758616504534</v>
      </c>
      <c r="J262" s="2"/>
      <c r="L262" s="40"/>
    </row>
    <row r="263" spans="1:12" ht="13.5" customHeight="1" hidden="1">
      <c r="A263" s="27" t="s">
        <v>295</v>
      </c>
      <c r="B263" s="64" t="s">
        <v>296</v>
      </c>
      <c r="C263" s="55" t="s">
        <v>473</v>
      </c>
      <c r="D263" s="71">
        <v>0</v>
      </c>
      <c r="E263" s="71"/>
      <c r="F263" s="71"/>
      <c r="G263" s="71"/>
      <c r="H263" s="68">
        <f t="shared" si="22"/>
        <v>0</v>
      </c>
      <c r="I263" s="73" t="e">
        <f t="shared" si="23"/>
        <v>#DIV/0!</v>
      </c>
      <c r="J263" s="2"/>
      <c r="L263" s="40"/>
    </row>
    <row r="264" spans="1:12" ht="15.75">
      <c r="A264" s="17" t="s">
        <v>297</v>
      </c>
      <c r="B264" s="64" t="s">
        <v>298</v>
      </c>
      <c r="C264" s="74" t="s">
        <v>264</v>
      </c>
      <c r="D264" s="71">
        <f>D265+D266+D267+D268+D269</f>
        <v>3768.9777500000005</v>
      </c>
      <c r="E264" s="71">
        <f>E265+E266+E267+E268+E269</f>
        <v>0</v>
      </c>
      <c r="F264" s="71">
        <f>F265+F266+F267+F268+F269</f>
        <v>1716.5449</v>
      </c>
      <c r="G264" s="71"/>
      <c r="H264" s="68">
        <f t="shared" si="22"/>
        <v>-2052.43285</v>
      </c>
      <c r="I264" s="73">
        <f t="shared" si="23"/>
        <v>45.54404440302148</v>
      </c>
      <c r="J264" s="2"/>
      <c r="L264" s="40"/>
    </row>
    <row r="265" spans="1:12" ht="15.75">
      <c r="A265" s="17"/>
      <c r="B265" s="64" t="s">
        <v>356</v>
      </c>
      <c r="C265" s="63" t="s">
        <v>45</v>
      </c>
      <c r="D265" s="71">
        <v>2108.64465</v>
      </c>
      <c r="E265" s="71"/>
      <c r="F265" s="71">
        <v>806.25183</v>
      </c>
      <c r="G265" s="71"/>
      <c r="H265" s="68">
        <f t="shared" si="22"/>
        <v>-1302.39282</v>
      </c>
      <c r="I265" s="73">
        <f t="shared" si="23"/>
        <v>38.235547653797425</v>
      </c>
      <c r="J265" s="2"/>
      <c r="L265" s="40"/>
    </row>
    <row r="266" spans="1:12" ht="15.75">
      <c r="A266" s="17"/>
      <c r="B266" s="64" t="s">
        <v>358</v>
      </c>
      <c r="C266" s="63" t="s">
        <v>44</v>
      </c>
      <c r="D266" s="71">
        <v>1633.2981</v>
      </c>
      <c r="E266" s="71"/>
      <c r="F266" s="71">
        <v>894.32107</v>
      </c>
      <c r="G266" s="71"/>
      <c r="H266" s="68">
        <f t="shared" si="22"/>
        <v>-738.97703</v>
      </c>
      <c r="I266" s="73">
        <f t="shared" si="23"/>
        <v>54.755532379545414</v>
      </c>
      <c r="J266" s="2"/>
      <c r="L266" s="40"/>
    </row>
    <row r="267" spans="1:12" ht="15.75">
      <c r="A267" s="17"/>
      <c r="B267" s="64" t="s">
        <v>360</v>
      </c>
      <c r="C267" s="74" t="s">
        <v>395</v>
      </c>
      <c r="D267" s="71">
        <v>17.684</v>
      </c>
      <c r="E267" s="71"/>
      <c r="F267" s="71">
        <v>9.018</v>
      </c>
      <c r="G267" s="71"/>
      <c r="H267" s="68">
        <f t="shared" si="22"/>
        <v>-8.666</v>
      </c>
      <c r="I267" s="73">
        <f t="shared" si="23"/>
        <v>50.995249943451704</v>
      </c>
      <c r="J267" s="2"/>
      <c r="L267" s="40"/>
    </row>
    <row r="268" spans="1:12" ht="31.5">
      <c r="A268" s="17"/>
      <c r="B268" s="64" t="s">
        <v>377</v>
      </c>
      <c r="C268" s="74" t="s">
        <v>398</v>
      </c>
      <c r="D268" s="71">
        <v>9.351</v>
      </c>
      <c r="E268" s="71"/>
      <c r="F268" s="71">
        <v>6.954</v>
      </c>
      <c r="G268" s="71"/>
      <c r="H268" s="68">
        <f t="shared" si="22"/>
        <v>-2.397000000000001</v>
      </c>
      <c r="I268" s="73">
        <f t="shared" si="23"/>
        <v>74.36637792749437</v>
      </c>
      <c r="J268" s="2"/>
      <c r="L268" s="40"/>
    </row>
    <row r="269" spans="1:12" ht="20.25" customHeight="1" hidden="1">
      <c r="A269" s="17"/>
      <c r="B269" s="64" t="s">
        <v>372</v>
      </c>
      <c r="C269" s="74" t="s">
        <v>399</v>
      </c>
      <c r="D269" s="71"/>
      <c r="E269" s="71"/>
      <c r="F269" s="71"/>
      <c r="G269" s="71"/>
      <c r="H269" s="68">
        <f t="shared" si="22"/>
        <v>0</v>
      </c>
      <c r="I269" s="73" t="e">
        <f t="shared" si="23"/>
        <v>#DIV/0!</v>
      </c>
      <c r="J269" s="2"/>
      <c r="L269" s="40"/>
    </row>
    <row r="270" spans="1:12" ht="15.75">
      <c r="A270" s="17"/>
      <c r="B270" s="64" t="s">
        <v>300</v>
      </c>
      <c r="C270" s="74" t="s">
        <v>265</v>
      </c>
      <c r="D270" s="71">
        <f>D271+D272</f>
        <v>45.3</v>
      </c>
      <c r="E270" s="71">
        <f>E271+E272</f>
        <v>19</v>
      </c>
      <c r="F270" s="71">
        <f>F271+F272</f>
        <v>12.33098</v>
      </c>
      <c r="G270" s="71"/>
      <c r="H270" s="68">
        <f t="shared" si="22"/>
        <v>-32.96902</v>
      </c>
      <c r="I270" s="73">
        <f t="shared" si="23"/>
        <v>27.22070640176601</v>
      </c>
      <c r="J270" s="2"/>
      <c r="L270" s="40"/>
    </row>
    <row r="271" spans="1:12" ht="63" hidden="1">
      <c r="A271" s="17"/>
      <c r="B271" s="48" t="s">
        <v>19</v>
      </c>
      <c r="C271" s="7" t="s">
        <v>238</v>
      </c>
      <c r="D271" s="1"/>
      <c r="E271" s="15"/>
      <c r="F271" s="4"/>
      <c r="G271" s="5"/>
      <c r="H271" s="69">
        <f t="shared" si="22"/>
        <v>0</v>
      </c>
      <c r="I271" s="70" t="e">
        <f t="shared" si="23"/>
        <v>#DIV/0!</v>
      </c>
      <c r="J271" s="2"/>
      <c r="L271" s="40"/>
    </row>
    <row r="272" spans="1:12" ht="63">
      <c r="A272" s="27" t="s">
        <v>311</v>
      </c>
      <c r="B272" s="48" t="s">
        <v>312</v>
      </c>
      <c r="C272" s="18" t="s">
        <v>34</v>
      </c>
      <c r="D272" s="15">
        <v>45.3</v>
      </c>
      <c r="E272" s="15">
        <v>19</v>
      </c>
      <c r="F272" s="4">
        <v>12.33098</v>
      </c>
      <c r="G272" s="5">
        <f>F272-L264</f>
        <v>12.33098</v>
      </c>
      <c r="H272" s="69">
        <f t="shared" si="22"/>
        <v>-32.96902</v>
      </c>
      <c r="I272" s="70">
        <f t="shared" si="23"/>
        <v>27.22070640176601</v>
      </c>
      <c r="J272" s="2"/>
      <c r="L272" s="40"/>
    </row>
    <row r="273" spans="1:12" ht="15.75">
      <c r="A273" s="19" t="s">
        <v>322</v>
      </c>
      <c r="B273" s="72" t="s">
        <v>335</v>
      </c>
      <c r="C273" s="55" t="s">
        <v>266</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445</v>
      </c>
      <c r="C274" s="24" t="s">
        <v>244</v>
      </c>
      <c r="D274" s="12"/>
      <c r="E274" s="12"/>
      <c r="F274" s="12"/>
      <c r="G274" s="12"/>
      <c r="H274" s="69">
        <f t="shared" si="22"/>
        <v>0</v>
      </c>
      <c r="I274" s="70" t="e">
        <f t="shared" si="23"/>
        <v>#DIV/0!</v>
      </c>
      <c r="J274" s="2"/>
      <c r="L274" s="40"/>
    </row>
    <row r="275" spans="1:12" ht="13.5" customHeight="1" hidden="1">
      <c r="A275" s="19"/>
      <c r="B275" s="49" t="s">
        <v>288</v>
      </c>
      <c r="C275" s="24" t="s">
        <v>268</v>
      </c>
      <c r="D275" s="12"/>
      <c r="E275" s="12"/>
      <c r="F275" s="12"/>
      <c r="G275" s="12"/>
      <c r="H275" s="69">
        <f t="shared" si="22"/>
        <v>0</v>
      </c>
      <c r="I275" s="70" t="e">
        <f t="shared" si="23"/>
        <v>#DIV/0!</v>
      </c>
      <c r="J275" s="2"/>
      <c r="L275" s="40"/>
    </row>
    <row r="276" spans="1:12" ht="15.75">
      <c r="A276" s="19"/>
      <c r="B276" s="49" t="s">
        <v>446</v>
      </c>
      <c r="C276" s="99" t="s">
        <v>267</v>
      </c>
      <c r="D276" s="12">
        <v>135.1</v>
      </c>
      <c r="E276" s="12"/>
      <c r="F276" s="12">
        <v>66.6927</v>
      </c>
      <c r="G276" s="12"/>
      <c r="H276" s="69">
        <f t="shared" si="22"/>
        <v>-68.40729999999999</v>
      </c>
      <c r="I276" s="70">
        <f t="shared" si="23"/>
        <v>49.365433012583274</v>
      </c>
      <c r="J276" s="2"/>
      <c r="L276" s="40"/>
    </row>
    <row r="277" spans="1:12" ht="30.75" customHeight="1">
      <c r="A277" s="19"/>
      <c r="B277" s="72" t="s">
        <v>324</v>
      </c>
      <c r="C277" s="3" t="s">
        <v>247</v>
      </c>
      <c r="D277" s="71">
        <f>D278</f>
        <v>0.77</v>
      </c>
      <c r="E277" s="71">
        <f>E278</f>
        <v>0</v>
      </c>
      <c r="F277" s="71">
        <f>F278</f>
        <v>0.77</v>
      </c>
      <c r="G277" s="71"/>
      <c r="H277" s="68">
        <f t="shared" si="22"/>
        <v>0</v>
      </c>
      <c r="I277" s="73">
        <f t="shared" si="23"/>
        <v>100</v>
      </c>
      <c r="J277" s="2"/>
      <c r="L277" s="40"/>
    </row>
    <row r="278" spans="1:12" ht="31.5">
      <c r="A278" s="19"/>
      <c r="B278" s="72" t="s">
        <v>325</v>
      </c>
      <c r="C278" s="3" t="s">
        <v>39</v>
      </c>
      <c r="D278" s="71">
        <v>0.77</v>
      </c>
      <c r="E278" s="71"/>
      <c r="F278" s="71">
        <v>0.77</v>
      </c>
      <c r="G278" s="71"/>
      <c r="H278" s="68">
        <f>F278-D278</f>
        <v>0</v>
      </c>
      <c r="I278" s="73">
        <f>F278/D278*100</f>
        <v>100</v>
      </c>
      <c r="J278" s="2"/>
      <c r="L278" s="40"/>
    </row>
    <row r="279" spans="1:12" s="28" customFormat="1" ht="15.75">
      <c r="A279" s="97"/>
      <c r="B279" s="64"/>
      <c r="C279" s="80" t="s">
        <v>476</v>
      </c>
      <c r="D279" s="71">
        <f>D280+D281+D288+D293+D294+D300</f>
        <v>350.58920000000006</v>
      </c>
      <c r="E279" s="71">
        <f>E280+E281+E288+E293+E294+E300</f>
        <v>20.700000000000003</v>
      </c>
      <c r="F279" s="71">
        <f>F280+F281+F288+F293+F294+F300</f>
        <v>341.15154000000007</v>
      </c>
      <c r="G279" s="71"/>
      <c r="H279" s="68">
        <f t="shared" si="22"/>
        <v>-9.437659999999994</v>
      </c>
      <c r="I279" s="73">
        <f t="shared" si="23"/>
        <v>97.30805740735882</v>
      </c>
      <c r="J279" s="59"/>
      <c r="L279" s="105"/>
    </row>
    <row r="280" spans="1:12" ht="24" customHeight="1" hidden="1">
      <c r="A280" s="27"/>
      <c r="B280" s="64" t="s">
        <v>296</v>
      </c>
      <c r="C280" s="80" t="s">
        <v>89</v>
      </c>
      <c r="D280" s="71"/>
      <c r="E280" s="71"/>
      <c r="F280" s="71"/>
      <c r="G280" s="71"/>
      <c r="H280" s="68">
        <f t="shared" si="22"/>
        <v>0</v>
      </c>
      <c r="I280" s="73" t="e">
        <f t="shared" si="23"/>
        <v>#DIV/0!</v>
      </c>
      <c r="J280" s="2"/>
      <c r="L280" s="40"/>
    </row>
    <row r="281" spans="1:12" ht="15.75">
      <c r="A281" s="17" t="s">
        <v>297</v>
      </c>
      <c r="B281" s="64" t="s">
        <v>298</v>
      </c>
      <c r="C281" s="74" t="s">
        <v>264</v>
      </c>
      <c r="D281" s="71">
        <f>D282+D283+D284+D285+D287+D286</f>
        <v>328.97783000000004</v>
      </c>
      <c r="E281" s="71">
        <f>E282+E283+E284+E285+E287+E286</f>
        <v>0</v>
      </c>
      <c r="F281" s="71">
        <f>F282+F283+F284+F285+F287+F286</f>
        <v>319.54017000000005</v>
      </c>
      <c r="G281" s="71"/>
      <c r="H281" s="68">
        <f t="shared" si="22"/>
        <v>-9.437659999999994</v>
      </c>
      <c r="I281" s="73">
        <f t="shared" si="23"/>
        <v>97.1312170184842</v>
      </c>
      <c r="J281" s="2"/>
      <c r="L281" s="40"/>
    </row>
    <row r="282" spans="1:12" ht="15.75">
      <c r="A282" s="17"/>
      <c r="B282" s="48" t="s">
        <v>356</v>
      </c>
      <c r="C282" s="20" t="s">
        <v>45</v>
      </c>
      <c r="D282" s="12">
        <v>173.95568</v>
      </c>
      <c r="E282" s="12"/>
      <c r="F282" s="12">
        <v>169.57068</v>
      </c>
      <c r="G282" s="12"/>
      <c r="H282" s="69">
        <f t="shared" si="22"/>
        <v>-4.384999999999991</v>
      </c>
      <c r="I282" s="70">
        <f t="shared" si="23"/>
        <v>97.47924298878887</v>
      </c>
      <c r="J282" s="2"/>
      <c r="L282" s="40"/>
    </row>
    <row r="283" spans="1:12" ht="15.75">
      <c r="A283" s="17"/>
      <c r="B283" s="48" t="s">
        <v>358</v>
      </c>
      <c r="C283" s="20" t="s">
        <v>44</v>
      </c>
      <c r="D283" s="12">
        <v>148.8753</v>
      </c>
      <c r="E283" s="12"/>
      <c r="F283" s="12">
        <v>143.82264</v>
      </c>
      <c r="G283" s="12"/>
      <c r="H283" s="69">
        <f t="shared" si="22"/>
        <v>-5.052660000000003</v>
      </c>
      <c r="I283" s="70">
        <f t="shared" si="23"/>
        <v>96.60611263251863</v>
      </c>
      <c r="J283" s="2"/>
      <c r="L283" s="40"/>
    </row>
    <row r="284" spans="1:12" ht="15.75">
      <c r="A284" s="17"/>
      <c r="B284" s="48" t="s">
        <v>360</v>
      </c>
      <c r="C284" s="18" t="s">
        <v>395</v>
      </c>
      <c r="D284" s="12">
        <v>6.00285</v>
      </c>
      <c r="E284" s="12"/>
      <c r="F284" s="12">
        <v>6.00285</v>
      </c>
      <c r="G284" s="12"/>
      <c r="H284" s="69">
        <f t="shared" si="22"/>
        <v>0</v>
      </c>
      <c r="I284" s="70">
        <f t="shared" si="23"/>
        <v>100</v>
      </c>
      <c r="J284" s="2"/>
      <c r="L284" s="40"/>
    </row>
    <row r="285" spans="1:12" ht="15" customHeight="1">
      <c r="A285" s="17"/>
      <c r="B285" s="48" t="s">
        <v>375</v>
      </c>
      <c r="C285" s="18" t="s">
        <v>46</v>
      </c>
      <c r="D285" s="12">
        <v>0.144</v>
      </c>
      <c r="E285" s="12"/>
      <c r="F285" s="12">
        <v>0.144</v>
      </c>
      <c r="G285" s="12"/>
      <c r="H285" s="69">
        <f aca="true" t="shared" si="24" ref="H285:H302">F285-D285</f>
        <v>0</v>
      </c>
      <c r="I285" s="70">
        <f aca="true" t="shared" si="25" ref="I285:I302">F285/D285*100</f>
        <v>100</v>
      </c>
      <c r="J285" s="2"/>
      <c r="L285" s="40"/>
    </row>
    <row r="286" spans="1:12" ht="31.5" hidden="1">
      <c r="A286" s="17"/>
      <c r="B286" s="48" t="s">
        <v>377</v>
      </c>
      <c r="C286" s="18" t="s">
        <v>398</v>
      </c>
      <c r="D286" s="12"/>
      <c r="E286" s="12"/>
      <c r="F286" s="12"/>
      <c r="G286" s="12"/>
      <c r="H286" s="69">
        <f t="shared" si="24"/>
        <v>0</v>
      </c>
      <c r="I286" s="70" t="e">
        <f t="shared" si="25"/>
        <v>#DIV/0!</v>
      </c>
      <c r="J286" s="2"/>
      <c r="L286" s="40"/>
    </row>
    <row r="287" spans="1:12" ht="31.5" hidden="1">
      <c r="A287" s="17"/>
      <c r="B287" s="48" t="s">
        <v>372</v>
      </c>
      <c r="C287" s="18" t="s">
        <v>399</v>
      </c>
      <c r="D287" s="12"/>
      <c r="E287" s="12"/>
      <c r="F287" s="12"/>
      <c r="G287" s="12"/>
      <c r="H287" s="69">
        <f t="shared" si="24"/>
        <v>0</v>
      </c>
      <c r="I287" s="70" t="e">
        <f t="shared" si="25"/>
        <v>#DIV/0!</v>
      </c>
      <c r="J287" s="2"/>
      <c r="L287" s="40"/>
    </row>
    <row r="288" spans="1:12" ht="15.75">
      <c r="A288" s="17"/>
      <c r="B288" s="64" t="s">
        <v>300</v>
      </c>
      <c r="C288" s="74" t="s">
        <v>265</v>
      </c>
      <c r="D288" s="71">
        <f>D289+D290+D291+D292</f>
        <v>0.05</v>
      </c>
      <c r="E288" s="71">
        <f>E289+E290+E291+E292</f>
        <v>0</v>
      </c>
      <c r="F288" s="71">
        <f>F289+F290+F291+F292</f>
        <v>0.05</v>
      </c>
      <c r="G288" s="71"/>
      <c r="H288" s="68">
        <f t="shared" si="24"/>
        <v>0</v>
      </c>
      <c r="I288" s="73">
        <f t="shared" si="25"/>
        <v>100</v>
      </c>
      <c r="J288" s="2"/>
      <c r="L288" s="40"/>
    </row>
    <row r="289" spans="1:12" ht="31.5">
      <c r="A289" s="17"/>
      <c r="B289" s="48" t="s">
        <v>309</v>
      </c>
      <c r="C289" s="18" t="s">
        <v>158</v>
      </c>
      <c r="D289" s="12">
        <v>0.05</v>
      </c>
      <c r="E289" s="12"/>
      <c r="F289" s="12">
        <v>0.05</v>
      </c>
      <c r="G289" s="12"/>
      <c r="H289" s="69">
        <f t="shared" si="24"/>
        <v>0</v>
      </c>
      <c r="I289" s="70">
        <f t="shared" si="25"/>
        <v>100</v>
      </c>
      <c r="J289" s="2"/>
      <c r="L289" s="40"/>
    </row>
    <row r="290" spans="1:12" ht="63" hidden="1">
      <c r="A290" s="17"/>
      <c r="B290" s="48" t="s">
        <v>19</v>
      </c>
      <c r="C290" s="7" t="s">
        <v>238</v>
      </c>
      <c r="D290" s="12"/>
      <c r="E290" s="12"/>
      <c r="F290" s="12"/>
      <c r="G290" s="12"/>
      <c r="H290" s="69">
        <f t="shared" si="24"/>
        <v>0</v>
      </c>
      <c r="I290" s="70" t="e">
        <f t="shared" si="25"/>
        <v>#DIV/0!</v>
      </c>
      <c r="J290" s="2"/>
      <c r="L290" s="40"/>
    </row>
    <row r="291" spans="1:12" ht="47.25" hidden="1">
      <c r="A291" s="17"/>
      <c r="B291" s="48" t="s">
        <v>25</v>
      </c>
      <c r="C291" s="3" t="s">
        <v>269</v>
      </c>
      <c r="D291" s="12"/>
      <c r="E291" s="12"/>
      <c r="F291" s="12"/>
      <c r="G291" s="12"/>
      <c r="H291" s="69">
        <f t="shared" si="24"/>
        <v>0</v>
      </c>
      <c r="I291" s="70" t="e">
        <f t="shared" si="25"/>
        <v>#DIV/0!</v>
      </c>
      <c r="J291" s="2"/>
      <c r="L291" s="40"/>
    </row>
    <row r="292" spans="1:12" ht="63" hidden="1">
      <c r="A292" s="17"/>
      <c r="B292" s="48" t="s">
        <v>312</v>
      </c>
      <c r="C292" s="18" t="s">
        <v>34</v>
      </c>
      <c r="D292" s="12"/>
      <c r="E292" s="12"/>
      <c r="F292" s="12"/>
      <c r="G292" s="12"/>
      <c r="H292" s="69">
        <f t="shared" si="24"/>
        <v>0</v>
      </c>
      <c r="I292" s="70" t="e">
        <f t="shared" si="25"/>
        <v>#DIV/0!</v>
      </c>
      <c r="J292" s="2"/>
      <c r="L292" s="40"/>
    </row>
    <row r="293" spans="1:12" ht="63" hidden="1">
      <c r="A293" s="27" t="s">
        <v>311</v>
      </c>
      <c r="B293" s="64" t="s">
        <v>321</v>
      </c>
      <c r="C293" s="55" t="s">
        <v>270</v>
      </c>
      <c r="D293" s="6"/>
      <c r="E293" s="6">
        <v>20.6</v>
      </c>
      <c r="F293" s="6"/>
      <c r="G293" s="5"/>
      <c r="H293" s="68">
        <f t="shared" si="24"/>
        <v>0</v>
      </c>
      <c r="I293" s="73" t="e">
        <f t="shared" si="25"/>
        <v>#DIV/0!</v>
      </c>
      <c r="J293" s="2"/>
      <c r="L293" s="40"/>
    </row>
    <row r="294" spans="1:12" ht="15.75">
      <c r="A294" s="19" t="s">
        <v>322</v>
      </c>
      <c r="B294" s="72" t="s">
        <v>335</v>
      </c>
      <c r="C294" s="63" t="s">
        <v>266</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444</v>
      </c>
      <c r="C295" s="87" t="s">
        <v>271</v>
      </c>
      <c r="D295" s="100">
        <v>14.61137</v>
      </c>
      <c r="E295" s="71"/>
      <c r="F295" s="71">
        <v>14.61137</v>
      </c>
      <c r="G295" s="71"/>
      <c r="H295" s="68">
        <f t="shared" si="24"/>
        <v>0</v>
      </c>
      <c r="I295" s="73">
        <f t="shared" si="25"/>
        <v>100</v>
      </c>
      <c r="J295" s="2"/>
      <c r="L295" s="40"/>
    </row>
    <row r="296" spans="1:12" ht="15.75" customHeight="1">
      <c r="A296" s="19"/>
      <c r="B296" s="72" t="s">
        <v>445</v>
      </c>
      <c r="C296" s="87" t="s">
        <v>192</v>
      </c>
      <c r="D296" s="100">
        <v>0.34</v>
      </c>
      <c r="E296" s="71"/>
      <c r="F296" s="71">
        <v>0.34</v>
      </c>
      <c r="G296" s="71"/>
      <c r="H296" s="68">
        <f t="shared" si="24"/>
        <v>0</v>
      </c>
      <c r="I296" s="73">
        <f t="shared" si="25"/>
        <v>100</v>
      </c>
      <c r="J296" s="2"/>
      <c r="L296" s="40"/>
    </row>
    <row r="297" spans="1:12" ht="15.75">
      <c r="A297" s="19"/>
      <c r="B297" s="72" t="s">
        <v>446</v>
      </c>
      <c r="C297" s="99" t="s">
        <v>267</v>
      </c>
      <c r="D297" s="100">
        <v>2.22</v>
      </c>
      <c r="E297" s="71"/>
      <c r="F297" s="71">
        <v>2.22</v>
      </c>
      <c r="G297" s="71"/>
      <c r="H297" s="68">
        <f t="shared" si="24"/>
        <v>0</v>
      </c>
      <c r="I297" s="73">
        <f t="shared" si="25"/>
        <v>100</v>
      </c>
      <c r="J297" s="2"/>
      <c r="L297" s="40"/>
    </row>
    <row r="298" spans="1:12" ht="31.5">
      <c r="A298" s="19"/>
      <c r="B298" s="72" t="s">
        <v>424</v>
      </c>
      <c r="C298" s="99" t="s">
        <v>281</v>
      </c>
      <c r="D298" s="100">
        <v>4.39</v>
      </c>
      <c r="E298" s="71"/>
      <c r="F298" s="71">
        <v>4.39</v>
      </c>
      <c r="G298" s="71"/>
      <c r="H298" s="68">
        <f t="shared" si="24"/>
        <v>0</v>
      </c>
      <c r="I298" s="73">
        <f t="shared" si="25"/>
        <v>100</v>
      </c>
      <c r="J298" s="2"/>
      <c r="L298" s="40"/>
    </row>
    <row r="299" spans="1:12" ht="66" customHeight="1" hidden="1">
      <c r="A299" s="19"/>
      <c r="B299" s="72" t="s">
        <v>415</v>
      </c>
      <c r="C299" s="55" t="s">
        <v>282</v>
      </c>
      <c r="D299" s="100"/>
      <c r="E299" s="71"/>
      <c r="F299" s="71"/>
      <c r="G299" s="71"/>
      <c r="H299" s="68">
        <f t="shared" si="24"/>
        <v>0</v>
      </c>
      <c r="I299" s="76" t="e">
        <f t="shared" si="25"/>
        <v>#DIV/0!</v>
      </c>
      <c r="J299" s="2"/>
      <c r="L299" s="40"/>
    </row>
    <row r="300" spans="1:12" ht="31.5" hidden="1">
      <c r="A300" s="27" t="s">
        <v>323</v>
      </c>
      <c r="B300" s="64" t="s">
        <v>325</v>
      </c>
      <c r="C300" s="80" t="s">
        <v>39</v>
      </c>
      <c r="D300" s="6"/>
      <c r="E300" s="6">
        <v>0.1</v>
      </c>
      <c r="F300" s="5"/>
      <c r="G300" s="5" t="e">
        <f>F300-#REF!</f>
        <v>#REF!</v>
      </c>
      <c r="H300" s="68">
        <f t="shared" si="24"/>
        <v>0</v>
      </c>
      <c r="I300" s="73" t="e">
        <f t="shared" si="25"/>
        <v>#DIV/0!</v>
      </c>
      <c r="J300" s="2"/>
      <c r="L300" s="59"/>
    </row>
    <row r="301" spans="1:12" ht="18" customHeight="1">
      <c r="A301" s="27"/>
      <c r="B301" s="97"/>
      <c r="C301" s="74" t="s">
        <v>391</v>
      </c>
      <c r="D301" s="6">
        <f>D186+D260+D279</f>
        <v>30824.41971</v>
      </c>
      <c r="E301" s="6">
        <f>E186+E260+E279</f>
        <v>155.7</v>
      </c>
      <c r="F301" s="6">
        <f>F186+F260+F279</f>
        <v>8874.18611</v>
      </c>
      <c r="G301" s="6" t="e">
        <f>G260+#REF!+#REF!</f>
        <v>#REF!</v>
      </c>
      <c r="H301" s="68">
        <f t="shared" si="24"/>
        <v>-21950.2336</v>
      </c>
      <c r="I301" s="73">
        <f t="shared" si="25"/>
        <v>28.789466901532794</v>
      </c>
      <c r="L301" s="29"/>
    </row>
    <row r="302" spans="1:12" ht="18" customHeight="1">
      <c r="A302" s="27"/>
      <c r="B302" s="97"/>
      <c r="C302" s="74" t="s">
        <v>290</v>
      </c>
      <c r="D302" s="6">
        <f>D301+D184</f>
        <v>197376.20036</v>
      </c>
      <c r="E302" s="6"/>
      <c r="F302" s="6">
        <f>F301+F184</f>
        <v>101333.94998</v>
      </c>
      <c r="G302" s="6"/>
      <c r="H302" s="68">
        <f t="shared" si="24"/>
        <v>-96042.25037999998</v>
      </c>
      <c r="I302" s="73">
        <f t="shared" si="25"/>
        <v>51.340511062212244</v>
      </c>
      <c r="L302" s="29"/>
    </row>
    <row r="303" spans="1:12" ht="78" customHeight="1">
      <c r="A303" s="117" t="s">
        <v>28</v>
      </c>
      <c r="B303" s="117"/>
      <c r="C303" s="117"/>
      <c r="D303" s="117"/>
      <c r="E303" s="60"/>
      <c r="F303" s="114" t="s">
        <v>47</v>
      </c>
      <c r="G303" s="114"/>
      <c r="H303" s="114"/>
      <c r="I303" s="114"/>
      <c r="L303" s="29"/>
    </row>
    <row r="304" spans="1:12" ht="18" customHeight="1">
      <c r="A304" s="106"/>
      <c r="B304" s="106"/>
      <c r="C304" s="106"/>
      <c r="G304" s="107"/>
      <c r="H304" s="107"/>
      <c r="L304" s="29"/>
    </row>
    <row r="305" spans="1:12" ht="18" customHeight="1">
      <c r="A305" s="106"/>
      <c r="B305" s="106"/>
      <c r="C305" s="106"/>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0">
    <mergeCell ref="A4:I4"/>
    <mergeCell ref="A5:I5"/>
    <mergeCell ref="A304:C304"/>
    <mergeCell ref="G304:H304"/>
    <mergeCell ref="A305:C305"/>
    <mergeCell ref="H6:I6"/>
    <mergeCell ref="A9:I9"/>
    <mergeCell ref="A185:I185"/>
    <mergeCell ref="F303:I303"/>
    <mergeCell ref="A303:D303"/>
  </mergeCells>
  <printOptions/>
  <pageMargins left="1.41" right="0.31" top="0.55" bottom="0.19" header="0" footer="0"/>
  <pageSetup blackAndWhite="1" fitToHeight="7"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M424"/>
  <sheetViews>
    <sheetView view="pageBreakPreview" zoomScaleSheetLayoutView="100" workbookViewId="0" topLeftCell="B289">
      <selection activeCell="A303" sqref="A303:D303"/>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27</v>
      </c>
      <c r="F1" s="118" t="s">
        <v>29</v>
      </c>
      <c r="G1" s="118"/>
      <c r="H1" s="118"/>
      <c r="I1" s="118"/>
    </row>
    <row r="2" spans="5:9" s="52" customFormat="1" ht="26.25" hidden="1">
      <c r="E2" s="62"/>
      <c r="F2" s="78" t="s">
        <v>95</v>
      </c>
      <c r="G2" s="62"/>
      <c r="H2" s="53"/>
      <c r="I2" s="53"/>
    </row>
    <row r="3" spans="5:9" s="52" customFormat="1" ht="26.25" hidden="1">
      <c r="E3" s="62"/>
      <c r="F3" s="78" t="s">
        <v>97</v>
      </c>
      <c r="G3" s="62"/>
      <c r="H3" s="53"/>
      <c r="I3" s="53"/>
    </row>
    <row r="4" spans="1:12" s="52" customFormat="1" ht="24.75" customHeight="1">
      <c r="A4" s="116" t="s">
        <v>24</v>
      </c>
      <c r="B4" s="116"/>
      <c r="C4" s="116"/>
      <c r="D4" s="116"/>
      <c r="E4" s="116"/>
      <c r="F4" s="116"/>
      <c r="G4" s="116"/>
      <c r="H4" s="116"/>
      <c r="I4" s="116"/>
      <c r="J4" s="53"/>
      <c r="L4" s="54"/>
    </row>
    <row r="5" spans="1:12" s="52" customFormat="1" ht="26.25">
      <c r="A5" s="116" t="s">
        <v>64</v>
      </c>
      <c r="B5" s="116"/>
      <c r="C5" s="116"/>
      <c r="D5" s="116"/>
      <c r="E5" s="116"/>
      <c r="F5" s="116"/>
      <c r="G5" s="116"/>
      <c r="H5" s="116"/>
      <c r="I5" s="116"/>
      <c r="J5" s="56"/>
      <c r="L5" s="54"/>
    </row>
    <row r="6" spans="8:13" ht="15.75">
      <c r="H6" s="108" t="s">
        <v>56</v>
      </c>
      <c r="I6" s="108"/>
      <c r="J6" s="30"/>
      <c r="K6" s="31"/>
      <c r="L6" s="30"/>
      <c r="M6" s="31"/>
    </row>
    <row r="7" spans="1:12" ht="78.75">
      <c r="A7" s="32" t="s">
        <v>292</v>
      </c>
      <c r="B7" s="32" t="s">
        <v>293</v>
      </c>
      <c r="C7" s="32" t="s">
        <v>294</v>
      </c>
      <c r="D7" s="33" t="s">
        <v>57</v>
      </c>
      <c r="E7" s="32" t="s">
        <v>456</v>
      </c>
      <c r="F7" s="32" t="s">
        <v>65</v>
      </c>
      <c r="G7" s="33" t="s">
        <v>451</v>
      </c>
      <c r="H7" s="32" t="s">
        <v>59</v>
      </c>
      <c r="I7" s="32" t="s">
        <v>60</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295</v>
      </c>
      <c r="B10" s="79" t="s">
        <v>296</v>
      </c>
      <c r="C10" s="80" t="s">
        <v>98</v>
      </c>
      <c r="D10" s="5">
        <f>SUM(D11:D19)</f>
        <v>11305.10986</v>
      </c>
      <c r="E10" s="5">
        <f>SUM(E11:E19)</f>
        <v>3613.0000000000005</v>
      </c>
      <c r="F10" s="5">
        <f>SUM(F11:F19)</f>
        <v>6774.48873</v>
      </c>
      <c r="G10" s="5" t="e">
        <f>SUM(G11:G19)</f>
        <v>#REF!</v>
      </c>
      <c r="H10" s="5">
        <f aca="true" t="shared" si="0" ref="H10:H34">F10-D10</f>
        <v>-4530.62113</v>
      </c>
      <c r="I10" s="6">
        <f aca="true" t="shared" si="1" ref="I10:I26">F10/D10*100</f>
        <v>59.92413000752563</v>
      </c>
      <c r="J10" s="2"/>
      <c r="L10" s="37"/>
    </row>
    <row r="11" spans="1:12" ht="15.75">
      <c r="A11" s="17" t="s">
        <v>295</v>
      </c>
      <c r="B11" s="48" t="s">
        <v>296</v>
      </c>
      <c r="C11" s="18" t="s">
        <v>114</v>
      </c>
      <c r="D11" s="6">
        <v>667.587</v>
      </c>
      <c r="E11" s="1">
        <v>314.3</v>
      </c>
      <c r="F11" s="4">
        <v>463.09904</v>
      </c>
      <c r="G11" s="5">
        <f>F11-L10</f>
        <v>463.09904</v>
      </c>
      <c r="H11" s="4">
        <f t="shared" si="0"/>
        <v>-204.48796</v>
      </c>
      <c r="I11" s="1">
        <f t="shared" si="1"/>
        <v>69.36909196853743</v>
      </c>
      <c r="J11" s="2"/>
      <c r="L11" s="37"/>
    </row>
    <row r="12" spans="1:12" ht="31.5">
      <c r="A12" s="17" t="s">
        <v>295</v>
      </c>
      <c r="B12" s="48" t="s">
        <v>296</v>
      </c>
      <c r="C12" s="18" t="s">
        <v>118</v>
      </c>
      <c r="D12" s="6">
        <f>5185.09256-5</f>
        <v>5180.09256</v>
      </c>
      <c r="E12" s="1">
        <v>1487.3</v>
      </c>
      <c r="F12" s="4">
        <v>3042.63669</v>
      </c>
      <c r="G12" s="5">
        <f>F12-L11</f>
        <v>3042.63669</v>
      </c>
      <c r="H12" s="4">
        <f t="shared" si="0"/>
        <v>-2137.4558700000002</v>
      </c>
      <c r="I12" s="1">
        <f t="shared" si="1"/>
        <v>58.737110481284525</v>
      </c>
      <c r="J12" s="2"/>
      <c r="L12" s="37"/>
    </row>
    <row r="13" spans="1:12" ht="47.25">
      <c r="A13" s="17"/>
      <c r="B13" s="48" t="s">
        <v>296</v>
      </c>
      <c r="C13" s="18" t="s">
        <v>251</v>
      </c>
      <c r="D13" s="6">
        <v>42.653</v>
      </c>
      <c r="E13" s="1"/>
      <c r="F13" s="4">
        <v>11.432</v>
      </c>
      <c r="G13" s="5"/>
      <c r="H13" s="4">
        <f t="shared" si="0"/>
        <v>-31.220999999999997</v>
      </c>
      <c r="I13" s="1">
        <f t="shared" si="1"/>
        <v>26.80233512296908</v>
      </c>
      <c r="J13" s="2"/>
      <c r="L13" s="37"/>
    </row>
    <row r="14" spans="1:12" ht="31.5">
      <c r="A14" s="17" t="s">
        <v>295</v>
      </c>
      <c r="B14" s="48" t="s">
        <v>296</v>
      </c>
      <c r="C14" s="18" t="s">
        <v>119</v>
      </c>
      <c r="D14" s="6">
        <v>1142.398</v>
      </c>
      <c r="E14" s="1">
        <v>432.3</v>
      </c>
      <c r="F14" s="4">
        <v>662.59113</v>
      </c>
      <c r="G14" s="5">
        <f>F14-L12</f>
        <v>662.59113</v>
      </c>
      <c r="H14" s="4">
        <f t="shared" si="0"/>
        <v>-479.8068699999999</v>
      </c>
      <c r="I14" s="1">
        <f t="shared" si="1"/>
        <v>58.000025385198505</v>
      </c>
      <c r="J14" s="2"/>
      <c r="L14" s="37"/>
    </row>
    <row r="15" spans="1:12" ht="31.5">
      <c r="A15" s="17" t="s">
        <v>295</v>
      </c>
      <c r="B15" s="48" t="s">
        <v>296</v>
      </c>
      <c r="C15" s="7" t="s">
        <v>120</v>
      </c>
      <c r="D15" s="6">
        <v>1838.62908</v>
      </c>
      <c r="E15" s="1">
        <v>549.7</v>
      </c>
      <c r="F15" s="4">
        <v>1090.48934</v>
      </c>
      <c r="G15" s="5">
        <f>F15-L14</f>
        <v>1090.48934</v>
      </c>
      <c r="H15" s="4">
        <f t="shared" si="0"/>
        <v>-748.1397399999998</v>
      </c>
      <c r="I15" s="1">
        <f t="shared" si="1"/>
        <v>59.30991475453005</v>
      </c>
      <c r="J15" s="2"/>
      <c r="L15" s="37"/>
    </row>
    <row r="16" spans="1:12" ht="47.25">
      <c r="A16" s="17" t="s">
        <v>295</v>
      </c>
      <c r="B16" s="48" t="s">
        <v>296</v>
      </c>
      <c r="C16" s="7" t="s">
        <v>121</v>
      </c>
      <c r="D16" s="6">
        <v>838</v>
      </c>
      <c r="E16" s="1">
        <v>309</v>
      </c>
      <c r="F16" s="4">
        <v>481.74733</v>
      </c>
      <c r="G16" s="5">
        <f>F16-L15</f>
        <v>481.74733</v>
      </c>
      <c r="H16" s="4">
        <f t="shared" si="0"/>
        <v>-356.25267</v>
      </c>
      <c r="I16" s="1">
        <f t="shared" si="1"/>
        <v>57.48774821002386</v>
      </c>
      <c r="J16" s="2"/>
      <c r="L16" s="37"/>
    </row>
    <row r="17" spans="1:12" ht="31.5">
      <c r="A17" s="17" t="s">
        <v>295</v>
      </c>
      <c r="B17" s="48" t="s">
        <v>296</v>
      </c>
      <c r="C17" s="7" t="s">
        <v>122</v>
      </c>
      <c r="D17" s="6">
        <v>763.1878</v>
      </c>
      <c r="E17" s="1">
        <v>258.7</v>
      </c>
      <c r="F17" s="4">
        <v>492.64652</v>
      </c>
      <c r="G17" s="5">
        <f>F17-L16</f>
        <v>492.64652</v>
      </c>
      <c r="H17" s="4">
        <f t="shared" si="0"/>
        <v>-270.54128000000003</v>
      </c>
      <c r="I17" s="1">
        <f t="shared" si="1"/>
        <v>64.55115241622049</v>
      </c>
      <c r="J17" s="2"/>
      <c r="L17" s="37"/>
    </row>
    <row r="18" spans="1:12" ht="31.5">
      <c r="A18" s="17" t="s">
        <v>295</v>
      </c>
      <c r="B18" s="48" t="s">
        <v>296</v>
      </c>
      <c r="C18" s="18" t="s">
        <v>123</v>
      </c>
      <c r="D18" s="6">
        <f>441.5034+1.2</f>
        <v>442.7034</v>
      </c>
      <c r="E18" s="1">
        <v>132.9</v>
      </c>
      <c r="F18" s="4">
        <v>285.66357</v>
      </c>
      <c r="G18" s="5" t="e">
        <f>F18-#REF!</f>
        <v>#REF!</v>
      </c>
      <c r="H18" s="4">
        <f t="shared" si="0"/>
        <v>-157.03983</v>
      </c>
      <c r="I18" s="1">
        <f t="shared" si="1"/>
        <v>64.52707840057248</v>
      </c>
      <c r="J18" s="2"/>
      <c r="L18" s="37"/>
    </row>
    <row r="19" spans="1:12" ht="31.5">
      <c r="A19" s="17" t="s">
        <v>295</v>
      </c>
      <c r="B19" s="48" t="s">
        <v>296</v>
      </c>
      <c r="C19" s="18" t="s">
        <v>124</v>
      </c>
      <c r="D19" s="6">
        <v>389.85902</v>
      </c>
      <c r="E19" s="1">
        <v>128.8</v>
      </c>
      <c r="F19" s="4">
        <v>244.18311</v>
      </c>
      <c r="G19" s="5">
        <f>F19-L18</f>
        <v>244.18311</v>
      </c>
      <c r="H19" s="4">
        <f t="shared" si="0"/>
        <v>-145.67591</v>
      </c>
      <c r="I19" s="1">
        <f t="shared" si="1"/>
        <v>62.63369512394507</v>
      </c>
      <c r="J19" s="2"/>
      <c r="L19" s="2"/>
    </row>
    <row r="20" spans="1:12" ht="63">
      <c r="A20" s="17"/>
      <c r="B20" s="72" t="s">
        <v>478</v>
      </c>
      <c r="C20" s="55" t="s">
        <v>125</v>
      </c>
      <c r="D20" s="46">
        <v>36.31</v>
      </c>
      <c r="E20" s="46"/>
      <c r="F20" s="5">
        <v>0</v>
      </c>
      <c r="G20" s="5"/>
      <c r="H20" s="5">
        <f t="shared" si="0"/>
        <v>-36.31</v>
      </c>
      <c r="I20" s="6">
        <f t="shared" si="1"/>
        <v>0</v>
      </c>
      <c r="J20" s="2"/>
      <c r="L20" s="2"/>
    </row>
    <row r="21" spans="1:12" ht="15.75">
      <c r="A21" s="17" t="s">
        <v>297</v>
      </c>
      <c r="B21" s="64" t="s">
        <v>298</v>
      </c>
      <c r="C21" s="74" t="s">
        <v>99</v>
      </c>
      <c r="D21" s="6">
        <f>SUM(D22:D28)</f>
        <v>61781.22072</v>
      </c>
      <c r="E21" s="6">
        <f>SUM(E22:E28)</f>
        <v>21838.1</v>
      </c>
      <c r="F21" s="6">
        <f>SUM(F22:F28)</f>
        <v>39438.18297</v>
      </c>
      <c r="G21" s="6">
        <f>SUM(G22:G28)</f>
        <v>39436.66896999999</v>
      </c>
      <c r="H21" s="5">
        <f t="shared" si="0"/>
        <v>-22343.037749999996</v>
      </c>
      <c r="I21" s="6">
        <f t="shared" si="1"/>
        <v>63.83522777696259</v>
      </c>
      <c r="J21" s="2"/>
      <c r="L21" s="37"/>
    </row>
    <row r="22" spans="1:12" ht="15.75">
      <c r="A22" s="17" t="s">
        <v>357</v>
      </c>
      <c r="B22" s="64" t="s">
        <v>356</v>
      </c>
      <c r="C22" s="74" t="s">
        <v>393</v>
      </c>
      <c r="D22" s="6">
        <v>22186.64718</v>
      </c>
      <c r="E22" s="6">
        <v>7100.2</v>
      </c>
      <c r="F22" s="5">
        <v>14120.53041</v>
      </c>
      <c r="G22" s="5">
        <f>F22-L21</f>
        <v>14120.53041</v>
      </c>
      <c r="H22" s="5">
        <f t="shared" si="0"/>
        <v>-8066.1167700000005</v>
      </c>
      <c r="I22" s="6">
        <f t="shared" si="1"/>
        <v>63.644273492251024</v>
      </c>
      <c r="J22" s="2"/>
      <c r="L22" s="37"/>
    </row>
    <row r="23" spans="1:12" ht="33" customHeight="1">
      <c r="A23" s="17"/>
      <c r="B23" s="64" t="s">
        <v>356</v>
      </c>
      <c r="C23" s="74" t="s">
        <v>126</v>
      </c>
      <c r="D23" s="6">
        <v>1.514</v>
      </c>
      <c r="E23" s="6"/>
      <c r="F23" s="5">
        <v>1.514</v>
      </c>
      <c r="G23" s="5"/>
      <c r="H23" s="5">
        <f t="shared" si="0"/>
        <v>0</v>
      </c>
      <c r="I23" s="6">
        <f t="shared" si="1"/>
        <v>100</v>
      </c>
      <c r="J23" s="2"/>
      <c r="L23" s="37"/>
    </row>
    <row r="24" spans="1:12" ht="15.75">
      <c r="A24" s="17" t="s">
        <v>359</v>
      </c>
      <c r="B24" s="64" t="s">
        <v>358</v>
      </c>
      <c r="C24" s="74" t="s">
        <v>394</v>
      </c>
      <c r="D24" s="6">
        <v>32220.62369</v>
      </c>
      <c r="E24" s="6">
        <v>12055.3</v>
      </c>
      <c r="F24" s="5">
        <v>20708.42947</v>
      </c>
      <c r="G24" s="5">
        <f>F24-L22</f>
        <v>20708.42947</v>
      </c>
      <c r="H24" s="5">
        <f t="shared" si="0"/>
        <v>-11512.194220000001</v>
      </c>
      <c r="I24" s="6">
        <f t="shared" si="1"/>
        <v>64.27072818092925</v>
      </c>
      <c r="J24" s="2"/>
      <c r="L24" s="37"/>
    </row>
    <row r="25" spans="1:12" ht="31.5">
      <c r="A25" s="17" t="s">
        <v>357</v>
      </c>
      <c r="B25" s="64" t="s">
        <v>457</v>
      </c>
      <c r="C25" s="74" t="s">
        <v>127</v>
      </c>
      <c r="D25" s="6">
        <v>230.5</v>
      </c>
      <c r="E25" s="6">
        <v>59.1</v>
      </c>
      <c r="F25" s="5">
        <v>182.11726</v>
      </c>
      <c r="G25" s="5">
        <f>F25-L24</f>
        <v>182.11726</v>
      </c>
      <c r="H25" s="5">
        <f t="shared" si="0"/>
        <v>-48.38274000000001</v>
      </c>
      <c r="I25" s="6">
        <f t="shared" si="1"/>
        <v>79.00965726681127</v>
      </c>
      <c r="J25" s="2"/>
      <c r="L25" s="37"/>
    </row>
    <row r="26" spans="1:12" ht="21.75" customHeight="1">
      <c r="A26" s="17" t="s">
        <v>361</v>
      </c>
      <c r="B26" s="64" t="s">
        <v>360</v>
      </c>
      <c r="C26" s="74" t="s">
        <v>395</v>
      </c>
      <c r="D26" s="6">
        <f>3224.958+6</f>
        <v>3230.958</v>
      </c>
      <c r="E26" s="6">
        <v>1069.7</v>
      </c>
      <c r="F26" s="5">
        <v>2052.42872</v>
      </c>
      <c r="G26" s="5">
        <f>F26-L25</f>
        <v>2052.42872</v>
      </c>
      <c r="H26" s="5">
        <f t="shared" si="0"/>
        <v>-1178.5292800000002</v>
      </c>
      <c r="I26" s="6">
        <f t="shared" si="1"/>
        <v>63.52384401159037</v>
      </c>
      <c r="J26" s="2"/>
      <c r="L26" s="37"/>
    </row>
    <row r="27" spans="1:12" ht="19.5" customHeight="1" hidden="1">
      <c r="A27" s="17" t="s">
        <v>361</v>
      </c>
      <c r="B27" s="64" t="s">
        <v>360</v>
      </c>
      <c r="C27" s="74" t="s">
        <v>388</v>
      </c>
      <c r="D27" s="6"/>
      <c r="E27" s="6"/>
      <c r="F27" s="5"/>
      <c r="G27" s="5">
        <f>F27-L26</f>
        <v>0</v>
      </c>
      <c r="H27" s="5">
        <f t="shared" si="0"/>
        <v>0</v>
      </c>
      <c r="I27" s="6"/>
      <c r="J27" s="2"/>
      <c r="L27" s="37"/>
    </row>
    <row r="28" spans="1:12" ht="15.75">
      <c r="A28" s="17" t="s">
        <v>362</v>
      </c>
      <c r="B28" s="64" t="s">
        <v>363</v>
      </c>
      <c r="C28" s="74" t="s">
        <v>100</v>
      </c>
      <c r="D28" s="5">
        <f>SUM(D29:D35)</f>
        <v>3910.9778499999993</v>
      </c>
      <c r="E28" s="5">
        <f>SUM(E29:E35)</f>
        <v>1553.8000000000002</v>
      </c>
      <c r="F28" s="5">
        <f>SUM(F29:F35)</f>
        <v>2373.16311</v>
      </c>
      <c r="G28" s="5">
        <f>SUM(G29:G35)</f>
        <v>2373.16311</v>
      </c>
      <c r="H28" s="5">
        <f t="shared" si="0"/>
        <v>-1537.8147399999993</v>
      </c>
      <c r="I28" s="6">
        <f aca="true" t="shared" si="2" ref="I28:I34">F28/D28*100</f>
        <v>60.67953338063524</v>
      </c>
      <c r="J28" s="2"/>
      <c r="L28" s="37"/>
    </row>
    <row r="29" spans="1:12" ht="24" customHeight="1">
      <c r="A29" s="17" t="s">
        <v>362</v>
      </c>
      <c r="B29" s="48" t="s">
        <v>375</v>
      </c>
      <c r="C29" s="18" t="s">
        <v>396</v>
      </c>
      <c r="D29" s="1">
        <v>629.573</v>
      </c>
      <c r="E29" s="1">
        <v>171.2</v>
      </c>
      <c r="F29" s="4">
        <v>402.59766</v>
      </c>
      <c r="G29" s="5">
        <f aca="true" t="shared" si="3" ref="G29:G35">F29-L28</f>
        <v>402.59766</v>
      </c>
      <c r="H29" s="4">
        <f t="shared" si="0"/>
        <v>-226.97533999999996</v>
      </c>
      <c r="I29" s="1">
        <f t="shared" si="2"/>
        <v>63.94773282844087</v>
      </c>
      <c r="J29" s="2"/>
      <c r="L29" s="37"/>
    </row>
    <row r="30" spans="1:12" ht="15.75">
      <c r="A30" s="17" t="s">
        <v>362</v>
      </c>
      <c r="B30" s="48" t="s">
        <v>376</v>
      </c>
      <c r="C30" s="18" t="s">
        <v>397</v>
      </c>
      <c r="D30" s="1">
        <v>1113.99375</v>
      </c>
      <c r="E30" s="1">
        <v>275.5</v>
      </c>
      <c r="F30" s="4">
        <v>720.14809</v>
      </c>
      <c r="G30" s="5">
        <f t="shared" si="3"/>
        <v>720.14809</v>
      </c>
      <c r="H30" s="4">
        <f t="shared" si="0"/>
        <v>-393.84566000000007</v>
      </c>
      <c r="I30" s="1">
        <f t="shared" si="2"/>
        <v>64.64561313741662</v>
      </c>
      <c r="J30" s="2"/>
      <c r="L30" s="37"/>
    </row>
    <row r="31" spans="1:12" ht="33" customHeight="1">
      <c r="A31" s="17" t="s">
        <v>362</v>
      </c>
      <c r="B31" s="48" t="s">
        <v>377</v>
      </c>
      <c r="C31" s="18" t="s">
        <v>398</v>
      </c>
      <c r="D31" s="1">
        <v>827.0071</v>
      </c>
      <c r="E31" s="1">
        <v>185</v>
      </c>
      <c r="F31" s="4">
        <v>523.4975</v>
      </c>
      <c r="G31" s="5">
        <f t="shared" si="3"/>
        <v>523.4975</v>
      </c>
      <c r="H31" s="4">
        <f t="shared" si="0"/>
        <v>-303.5096000000001</v>
      </c>
      <c r="I31" s="1">
        <f t="shared" si="2"/>
        <v>63.30024252512463</v>
      </c>
      <c r="J31" s="2"/>
      <c r="L31" s="37"/>
    </row>
    <row r="32" spans="1:12" ht="18.75" customHeight="1">
      <c r="A32" s="17" t="s">
        <v>362</v>
      </c>
      <c r="B32" s="48" t="s">
        <v>372</v>
      </c>
      <c r="C32" s="18" t="s">
        <v>399</v>
      </c>
      <c r="D32" s="1">
        <v>1046.053</v>
      </c>
      <c r="E32" s="1">
        <v>439.2</v>
      </c>
      <c r="F32" s="4">
        <v>679.5115</v>
      </c>
      <c r="G32" s="5">
        <f t="shared" si="3"/>
        <v>679.5115</v>
      </c>
      <c r="H32" s="4">
        <f t="shared" si="0"/>
        <v>-366.54150000000016</v>
      </c>
      <c r="I32" s="1">
        <f t="shared" si="2"/>
        <v>64.95956705826568</v>
      </c>
      <c r="J32" s="2"/>
      <c r="L32" s="37"/>
    </row>
    <row r="33" spans="1:12" ht="35.25" customHeight="1">
      <c r="A33" s="17" t="s">
        <v>362</v>
      </c>
      <c r="B33" s="48" t="s">
        <v>434</v>
      </c>
      <c r="C33" s="18" t="s">
        <v>128</v>
      </c>
      <c r="D33" s="1">
        <f>233.111+54</f>
        <v>287.111</v>
      </c>
      <c r="E33" s="1">
        <v>76</v>
      </c>
      <c r="F33" s="4">
        <v>46.30836</v>
      </c>
      <c r="G33" s="5">
        <f t="shared" si="3"/>
        <v>46.30836</v>
      </c>
      <c r="H33" s="4">
        <f t="shared" si="0"/>
        <v>-240.80264</v>
      </c>
      <c r="I33" s="1">
        <f t="shared" si="2"/>
        <v>16.129078997321596</v>
      </c>
      <c r="J33" s="2"/>
      <c r="L33" s="37"/>
    </row>
    <row r="34" spans="1:12" ht="30" customHeight="1">
      <c r="A34" s="19" t="s">
        <v>362</v>
      </c>
      <c r="B34" s="49" t="s">
        <v>422</v>
      </c>
      <c r="C34" s="7" t="s">
        <v>423</v>
      </c>
      <c r="D34" s="1">
        <v>7.24</v>
      </c>
      <c r="E34" s="1">
        <v>4</v>
      </c>
      <c r="F34" s="4">
        <v>1.1</v>
      </c>
      <c r="G34" s="5">
        <f t="shared" si="3"/>
        <v>1.1</v>
      </c>
      <c r="H34" s="4">
        <f t="shared" si="0"/>
        <v>-6.140000000000001</v>
      </c>
      <c r="I34" s="1">
        <f t="shared" si="2"/>
        <v>15.193370165745856</v>
      </c>
      <c r="J34" s="2"/>
      <c r="L34" s="37"/>
    </row>
    <row r="35" spans="1:12" ht="1.5" customHeight="1" hidden="1">
      <c r="A35" s="19" t="s">
        <v>362</v>
      </c>
      <c r="B35" s="49" t="s">
        <v>430</v>
      </c>
      <c r="C35" s="18" t="s">
        <v>460</v>
      </c>
      <c r="D35" s="1"/>
      <c r="E35" s="1">
        <v>402.9</v>
      </c>
      <c r="F35" s="4"/>
      <c r="G35" s="5">
        <f t="shared" si="3"/>
        <v>0</v>
      </c>
      <c r="H35" s="4"/>
      <c r="I35" s="1"/>
      <c r="J35" s="2"/>
      <c r="K35" s="2"/>
      <c r="L35" s="2"/>
    </row>
    <row r="36" spans="1:12" ht="15.75" hidden="1">
      <c r="A36" s="17" t="s">
        <v>400</v>
      </c>
      <c r="B36" s="48" t="s">
        <v>299</v>
      </c>
      <c r="C36" s="18" t="s">
        <v>401</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345</v>
      </c>
      <c r="B37" s="48" t="s">
        <v>346</v>
      </c>
      <c r="C37" s="7" t="s">
        <v>426</v>
      </c>
      <c r="D37" s="1"/>
      <c r="E37" s="1"/>
      <c r="F37" s="4"/>
      <c r="G37" s="5">
        <f>F37-L36</f>
        <v>0</v>
      </c>
      <c r="H37" s="4">
        <f t="shared" si="4"/>
        <v>0</v>
      </c>
      <c r="I37" s="1" t="e">
        <f t="shared" si="5"/>
        <v>#DIV/0!</v>
      </c>
      <c r="J37" s="2"/>
      <c r="L37" s="2"/>
    </row>
    <row r="38" spans="1:12" ht="33.75" customHeight="1">
      <c r="A38" s="17" t="s">
        <v>402</v>
      </c>
      <c r="B38" s="64" t="s">
        <v>300</v>
      </c>
      <c r="C38" s="55" t="s">
        <v>101</v>
      </c>
      <c r="D38" s="6">
        <f>D39+D52+D90+D92+D103+D109+D60+D91</f>
        <v>36674.455050000004</v>
      </c>
      <c r="E38" s="6">
        <f>E39+E52+E90+E92+E103+E109+E60+E91</f>
        <v>5469.299999999999</v>
      </c>
      <c r="F38" s="6">
        <f>F39+F52+F60+F90+F91+F92+F103+F109</f>
        <v>22661.484810000005</v>
      </c>
      <c r="G38" s="6" t="e">
        <f>G39+G52+G61+G62+#REF!+G83+G86+G89+G90+G92+G103+G110</f>
        <v>#REF!</v>
      </c>
      <c r="H38" s="5">
        <f t="shared" si="4"/>
        <v>-14012.970239999999</v>
      </c>
      <c r="I38" s="6">
        <f t="shared" si="5"/>
        <v>61.79092444347036</v>
      </c>
      <c r="J38" s="2"/>
      <c r="L38" s="2"/>
    </row>
    <row r="39" spans="1:12" ht="31.5">
      <c r="A39" s="17"/>
      <c r="B39" s="79" t="s">
        <v>440</v>
      </c>
      <c r="C39" s="74" t="s">
        <v>102</v>
      </c>
      <c r="D39" s="6">
        <f>SUM(D40:D51)</f>
        <v>3651.1180000000004</v>
      </c>
      <c r="E39" s="6">
        <f>SUM(E40:E51)</f>
        <v>1141.1</v>
      </c>
      <c r="F39" s="6">
        <f>SUM(F40:F51)</f>
        <v>1792.73988</v>
      </c>
      <c r="G39" s="6">
        <f>SUM(G40:G50)</f>
        <v>1680.3821500000001</v>
      </c>
      <c r="H39" s="5">
        <f t="shared" si="4"/>
        <v>-1858.3781200000003</v>
      </c>
      <c r="I39" s="6">
        <f t="shared" si="5"/>
        <v>49.10112135515751</v>
      </c>
      <c r="J39" s="2"/>
      <c r="L39" s="37"/>
    </row>
    <row r="40" spans="1:12" ht="78.75">
      <c r="A40" s="17" t="s">
        <v>301</v>
      </c>
      <c r="B40" s="64" t="s">
        <v>302</v>
      </c>
      <c r="C40" s="83" t="s">
        <v>239</v>
      </c>
      <c r="D40" s="6">
        <v>1600</v>
      </c>
      <c r="E40" s="6">
        <v>482.5</v>
      </c>
      <c r="F40" s="5">
        <v>705.73279</v>
      </c>
      <c r="G40" s="5">
        <f aca="true" t="shared" si="6" ref="G40:G50">F40-L39</f>
        <v>705.73279</v>
      </c>
      <c r="H40" s="5">
        <f t="shared" si="4"/>
        <v>-894.26721</v>
      </c>
      <c r="I40" s="6">
        <f t="shared" si="5"/>
        <v>44.108299375</v>
      </c>
      <c r="J40" s="2"/>
      <c r="L40" s="37"/>
    </row>
    <row r="41" spans="1:12" ht="78.75">
      <c r="A41" s="17" t="s">
        <v>301</v>
      </c>
      <c r="B41" s="64" t="s">
        <v>348</v>
      </c>
      <c r="C41" s="82" t="s">
        <v>239</v>
      </c>
      <c r="D41" s="6">
        <f>2+0.518</f>
        <v>2.518</v>
      </c>
      <c r="E41" s="6">
        <v>10.7</v>
      </c>
      <c r="F41" s="5">
        <v>0.56167</v>
      </c>
      <c r="G41" s="5">
        <f t="shared" si="6"/>
        <v>0.56167</v>
      </c>
      <c r="H41" s="5">
        <f t="shared" si="4"/>
        <v>-1.95633</v>
      </c>
      <c r="I41" s="6">
        <f t="shared" si="5"/>
        <v>22.306195393169183</v>
      </c>
      <c r="J41" s="2"/>
      <c r="L41" s="37"/>
    </row>
    <row r="42" spans="1:12" ht="78.75">
      <c r="A42" s="17" t="s">
        <v>301</v>
      </c>
      <c r="B42" s="64" t="s">
        <v>349</v>
      </c>
      <c r="C42" s="82" t="s">
        <v>240</v>
      </c>
      <c r="D42" s="6">
        <v>16</v>
      </c>
      <c r="E42" s="6">
        <v>105.6</v>
      </c>
      <c r="F42" s="5">
        <v>10.91329</v>
      </c>
      <c r="G42" s="5">
        <f t="shared" si="6"/>
        <v>10.91329</v>
      </c>
      <c r="H42" s="5">
        <f t="shared" si="4"/>
        <v>-5.08671</v>
      </c>
      <c r="I42" s="6">
        <f t="shared" si="5"/>
        <v>68.2080625</v>
      </c>
      <c r="J42" s="2"/>
      <c r="L42" s="37"/>
    </row>
    <row r="43" spans="1:12" ht="78.75">
      <c r="A43" s="17" t="s">
        <v>301</v>
      </c>
      <c r="B43" s="64" t="s">
        <v>350</v>
      </c>
      <c r="C43" s="84" t="s">
        <v>241</v>
      </c>
      <c r="D43" s="6">
        <v>396.8</v>
      </c>
      <c r="E43" s="6">
        <v>108.4</v>
      </c>
      <c r="F43" s="5">
        <v>205.67221</v>
      </c>
      <c r="G43" s="5">
        <f t="shared" si="6"/>
        <v>205.67221</v>
      </c>
      <c r="H43" s="5">
        <f t="shared" si="4"/>
        <v>-191.12779</v>
      </c>
      <c r="I43" s="6">
        <f t="shared" si="5"/>
        <v>51.83271421370967</v>
      </c>
      <c r="J43" s="2"/>
      <c r="L43" s="37"/>
    </row>
    <row r="44" spans="1:12" ht="67.5" customHeight="1" hidden="1">
      <c r="A44" s="17" t="s">
        <v>301</v>
      </c>
      <c r="B44" s="64" t="s">
        <v>429</v>
      </c>
      <c r="C44" s="81" t="s">
        <v>11</v>
      </c>
      <c r="D44" s="6">
        <v>0</v>
      </c>
      <c r="E44" s="6">
        <v>0.2</v>
      </c>
      <c r="F44" s="5">
        <v>0</v>
      </c>
      <c r="G44" s="5">
        <f t="shared" si="6"/>
        <v>0</v>
      </c>
      <c r="H44" s="5">
        <f t="shared" si="4"/>
        <v>0</v>
      </c>
      <c r="I44" s="6" t="e">
        <f t="shared" si="5"/>
        <v>#DIV/0!</v>
      </c>
      <c r="J44" s="2"/>
      <c r="L44" s="37"/>
    </row>
    <row r="45" spans="1:12" ht="0.75" customHeight="1" hidden="1">
      <c r="A45" s="17" t="s">
        <v>301</v>
      </c>
      <c r="B45" s="64" t="s">
        <v>387</v>
      </c>
      <c r="C45" s="63" t="s">
        <v>6</v>
      </c>
      <c r="D45" s="6"/>
      <c r="E45" s="6">
        <v>5</v>
      </c>
      <c r="F45" s="5"/>
      <c r="G45" s="5">
        <f t="shared" si="6"/>
        <v>0</v>
      </c>
      <c r="H45" s="5">
        <f t="shared" si="4"/>
        <v>0</v>
      </c>
      <c r="I45" s="6" t="e">
        <f t="shared" si="5"/>
        <v>#DIV/0!</v>
      </c>
      <c r="J45" s="2"/>
      <c r="L45" s="37"/>
    </row>
    <row r="46" spans="1:12" ht="77.25" customHeight="1">
      <c r="A46" s="17" t="s">
        <v>326</v>
      </c>
      <c r="B46" s="64" t="s">
        <v>368</v>
      </c>
      <c r="C46" s="83" t="s">
        <v>142</v>
      </c>
      <c r="D46" s="6">
        <v>1000</v>
      </c>
      <c r="E46" s="6">
        <v>286.4</v>
      </c>
      <c r="F46" s="5">
        <v>508.10086</v>
      </c>
      <c r="G46" s="5">
        <f t="shared" si="6"/>
        <v>508.10086</v>
      </c>
      <c r="H46" s="5">
        <f t="shared" si="4"/>
        <v>-491.89914</v>
      </c>
      <c r="I46" s="6">
        <f t="shared" si="5"/>
        <v>50.810086</v>
      </c>
      <c r="J46" s="2"/>
      <c r="L46" s="37"/>
    </row>
    <row r="47" spans="1:12" ht="73.5" customHeight="1">
      <c r="A47" s="17" t="s">
        <v>326</v>
      </c>
      <c r="B47" s="64" t="s">
        <v>433</v>
      </c>
      <c r="C47" s="82" t="s">
        <v>143</v>
      </c>
      <c r="D47" s="6">
        <v>0.5</v>
      </c>
      <c r="E47" s="6">
        <v>0.3</v>
      </c>
      <c r="F47" s="5">
        <v>0.4978</v>
      </c>
      <c r="G47" s="5">
        <f t="shared" si="6"/>
        <v>0.4978</v>
      </c>
      <c r="H47" s="5">
        <f t="shared" si="4"/>
        <v>-0.0021999999999999797</v>
      </c>
      <c r="I47" s="6">
        <f t="shared" si="5"/>
        <v>99.56</v>
      </c>
      <c r="J47" s="2"/>
      <c r="L47" s="37"/>
    </row>
    <row r="48" spans="1:12" ht="60" customHeight="1">
      <c r="A48" s="17" t="s">
        <v>326</v>
      </c>
      <c r="B48" s="64" t="s">
        <v>369</v>
      </c>
      <c r="C48" s="82" t="s">
        <v>144</v>
      </c>
      <c r="D48" s="6">
        <v>30</v>
      </c>
      <c r="E48" s="6">
        <v>56.5</v>
      </c>
      <c r="F48" s="5">
        <v>14.5317</v>
      </c>
      <c r="G48" s="5">
        <f t="shared" si="6"/>
        <v>14.5317</v>
      </c>
      <c r="H48" s="5">
        <f t="shared" si="4"/>
        <v>-15.4683</v>
      </c>
      <c r="I48" s="6">
        <f t="shared" si="5"/>
        <v>48.43900000000001</v>
      </c>
      <c r="J48" s="2"/>
      <c r="L48" s="37"/>
    </row>
    <row r="49" spans="1:12" ht="48.75" customHeight="1">
      <c r="A49" s="17" t="s">
        <v>326</v>
      </c>
      <c r="B49" s="64" t="s">
        <v>439</v>
      </c>
      <c r="C49" s="82" t="s">
        <v>145</v>
      </c>
      <c r="D49" s="6">
        <v>165.3</v>
      </c>
      <c r="E49" s="6">
        <v>50.6</v>
      </c>
      <c r="F49" s="5">
        <v>107.87911</v>
      </c>
      <c r="G49" s="5">
        <f t="shared" si="6"/>
        <v>107.87911</v>
      </c>
      <c r="H49" s="5">
        <f t="shared" si="4"/>
        <v>-57.420890000000014</v>
      </c>
      <c r="I49" s="6">
        <f t="shared" si="5"/>
        <v>65.26261947973381</v>
      </c>
      <c r="J49" s="2"/>
      <c r="L49" s="37"/>
    </row>
    <row r="50" spans="1:12" ht="31.5">
      <c r="A50" s="17" t="s">
        <v>326</v>
      </c>
      <c r="B50" s="64" t="s">
        <v>459</v>
      </c>
      <c r="C50" s="82" t="s">
        <v>146</v>
      </c>
      <c r="D50" s="6">
        <v>220</v>
      </c>
      <c r="E50" s="6">
        <v>34.9</v>
      </c>
      <c r="F50" s="5">
        <v>126.49272</v>
      </c>
      <c r="G50" s="5">
        <f t="shared" si="6"/>
        <v>126.49272</v>
      </c>
      <c r="H50" s="5">
        <f t="shared" si="4"/>
        <v>-93.50728</v>
      </c>
      <c r="I50" s="6">
        <f t="shared" si="5"/>
        <v>57.49669090909091</v>
      </c>
      <c r="J50" s="2"/>
      <c r="K50" s="2"/>
      <c r="L50" s="2"/>
    </row>
    <row r="51" spans="1:12" ht="18.75" customHeight="1">
      <c r="A51" s="17" t="s">
        <v>326</v>
      </c>
      <c r="B51" s="64" t="s">
        <v>14</v>
      </c>
      <c r="C51" s="83" t="s">
        <v>147</v>
      </c>
      <c r="D51" s="6">
        <v>220</v>
      </c>
      <c r="E51" s="6"/>
      <c r="F51" s="5">
        <v>112.35773</v>
      </c>
      <c r="G51" s="5"/>
      <c r="H51" s="5">
        <f t="shared" si="4"/>
        <v>-107.64227</v>
      </c>
      <c r="I51" s="6">
        <f t="shared" si="5"/>
        <v>51.07169545454545</v>
      </c>
      <c r="J51" s="2"/>
      <c r="K51" s="2"/>
      <c r="L51" s="2"/>
    </row>
    <row r="52" spans="1:12" ht="31.5">
      <c r="A52" s="17"/>
      <c r="B52" s="79" t="s">
        <v>441</v>
      </c>
      <c r="C52" s="63" t="s">
        <v>103</v>
      </c>
      <c r="D52" s="6">
        <f>SUM(D53:D59)</f>
        <v>24818.107000000004</v>
      </c>
      <c r="E52" s="6">
        <f>SUM(E53:E59)</f>
        <v>1842.6999999999998</v>
      </c>
      <c r="F52" s="6">
        <f>SUM(F53:F59)</f>
        <v>15666.455570000002</v>
      </c>
      <c r="G52" s="6">
        <f>SUM(G53:G57)</f>
        <v>15303.330030000001</v>
      </c>
      <c r="H52" s="5">
        <f t="shared" si="4"/>
        <v>-9151.651430000002</v>
      </c>
      <c r="I52" s="6">
        <f t="shared" si="5"/>
        <v>63.12510285333204</v>
      </c>
      <c r="J52" s="2"/>
      <c r="L52" s="38"/>
    </row>
    <row r="53" spans="1:12" ht="19.5" customHeight="1">
      <c r="A53" s="17" t="s">
        <v>304</v>
      </c>
      <c r="B53" s="64" t="s">
        <v>351</v>
      </c>
      <c r="C53" s="55" t="s">
        <v>148</v>
      </c>
      <c r="D53" s="6">
        <v>300</v>
      </c>
      <c r="E53" s="6">
        <v>73.9</v>
      </c>
      <c r="F53" s="5">
        <v>214.42008</v>
      </c>
      <c r="G53" s="5">
        <f aca="true" t="shared" si="7" ref="G53:G58">F53-L52</f>
        <v>214.42008</v>
      </c>
      <c r="H53" s="5">
        <f t="shared" si="4"/>
        <v>-85.57991999999999</v>
      </c>
      <c r="I53" s="6">
        <f t="shared" si="5"/>
        <v>71.47336000000001</v>
      </c>
      <c r="J53" s="2"/>
      <c r="L53" s="37"/>
    </row>
    <row r="54" spans="1:12" ht="19.5" customHeight="1">
      <c r="A54" s="17" t="s">
        <v>304</v>
      </c>
      <c r="B54" s="64" t="s">
        <v>352</v>
      </c>
      <c r="C54" s="55" t="s">
        <v>149</v>
      </c>
      <c r="D54" s="6">
        <v>4296.569</v>
      </c>
      <c r="E54" s="6">
        <v>616.3</v>
      </c>
      <c r="F54" s="5">
        <v>2717.65666</v>
      </c>
      <c r="G54" s="5">
        <f t="shared" si="7"/>
        <v>2717.65666</v>
      </c>
      <c r="H54" s="5">
        <f t="shared" si="4"/>
        <v>-1578.9123400000003</v>
      </c>
      <c r="I54" s="6">
        <f t="shared" si="5"/>
        <v>63.2517867163311</v>
      </c>
      <c r="J54" s="2"/>
      <c r="L54" s="37"/>
    </row>
    <row r="55" spans="1:12" ht="18.75" customHeight="1">
      <c r="A55" s="17" t="s">
        <v>304</v>
      </c>
      <c r="B55" s="64" t="s">
        <v>353</v>
      </c>
      <c r="C55" s="55" t="s">
        <v>150</v>
      </c>
      <c r="D55" s="6">
        <v>15447.722</v>
      </c>
      <c r="E55" s="6">
        <v>640.5</v>
      </c>
      <c r="F55" s="5">
        <v>9627.75539</v>
      </c>
      <c r="G55" s="5">
        <f t="shared" si="7"/>
        <v>9627.75539</v>
      </c>
      <c r="H55" s="5">
        <f t="shared" si="4"/>
        <v>-5819.9666099999995</v>
      </c>
      <c r="I55" s="6">
        <f t="shared" si="5"/>
        <v>62.32475823943492</v>
      </c>
      <c r="J55" s="2"/>
      <c r="L55" s="37"/>
    </row>
    <row r="56" spans="1:12" ht="31.5">
      <c r="A56" s="17" t="s">
        <v>304</v>
      </c>
      <c r="B56" s="64" t="s">
        <v>354</v>
      </c>
      <c r="C56" s="55" t="s">
        <v>151</v>
      </c>
      <c r="D56" s="6">
        <v>1800</v>
      </c>
      <c r="E56" s="6">
        <v>137.2</v>
      </c>
      <c r="F56" s="5">
        <v>1136.05199</v>
      </c>
      <c r="G56" s="5">
        <f t="shared" si="7"/>
        <v>1136.05199</v>
      </c>
      <c r="H56" s="5">
        <f t="shared" si="4"/>
        <v>-663.9480100000001</v>
      </c>
      <c r="I56" s="6">
        <f t="shared" si="5"/>
        <v>63.11399944444444</v>
      </c>
      <c r="J56" s="2"/>
      <c r="L56" s="37"/>
    </row>
    <row r="57" spans="1:12" ht="18.75" customHeight="1">
      <c r="A57" s="17" t="s">
        <v>304</v>
      </c>
      <c r="B57" s="64" t="s">
        <v>355</v>
      </c>
      <c r="C57" s="55" t="s">
        <v>152</v>
      </c>
      <c r="D57" s="6">
        <v>2400</v>
      </c>
      <c r="E57" s="6">
        <v>336.9</v>
      </c>
      <c r="F57" s="5">
        <v>1607.44591</v>
      </c>
      <c r="G57" s="5">
        <f t="shared" si="7"/>
        <v>1607.44591</v>
      </c>
      <c r="H57" s="5">
        <f t="shared" si="4"/>
        <v>-792.5540900000001</v>
      </c>
      <c r="I57" s="6">
        <f t="shared" si="5"/>
        <v>66.97691291666666</v>
      </c>
      <c r="J57" s="2"/>
      <c r="L57" s="37"/>
    </row>
    <row r="58" spans="1:12" ht="20.25" customHeight="1">
      <c r="A58" s="17" t="s">
        <v>304</v>
      </c>
      <c r="B58" s="64" t="s">
        <v>436</v>
      </c>
      <c r="C58" s="55" t="s">
        <v>153</v>
      </c>
      <c r="D58" s="6">
        <v>530.9</v>
      </c>
      <c r="E58" s="6">
        <v>37.9</v>
      </c>
      <c r="F58" s="5">
        <v>327.81718</v>
      </c>
      <c r="G58" s="5">
        <f t="shared" si="7"/>
        <v>327.81718</v>
      </c>
      <c r="H58" s="5">
        <f t="shared" si="4"/>
        <v>-203.08281999999997</v>
      </c>
      <c r="I58" s="6">
        <f t="shared" si="5"/>
        <v>61.74744396308156</v>
      </c>
      <c r="J58" s="2"/>
      <c r="L58" s="37"/>
    </row>
    <row r="59" spans="1:12" ht="17.25" customHeight="1">
      <c r="A59" s="17" t="s">
        <v>304</v>
      </c>
      <c r="B59" s="64" t="s">
        <v>13</v>
      </c>
      <c r="C59" s="55" t="s">
        <v>154</v>
      </c>
      <c r="D59" s="6">
        <v>42.916</v>
      </c>
      <c r="E59" s="6"/>
      <c r="F59" s="5">
        <v>35.30836</v>
      </c>
      <c r="G59" s="5"/>
      <c r="H59" s="5">
        <f t="shared" si="4"/>
        <v>-7.607639999999996</v>
      </c>
      <c r="I59" s="6">
        <f t="shared" si="5"/>
        <v>82.27318482617207</v>
      </c>
      <c r="J59" s="2"/>
      <c r="L59" s="37"/>
    </row>
    <row r="60" spans="1:12" ht="18" customHeight="1">
      <c r="A60" s="17"/>
      <c r="B60" s="64" t="s">
        <v>461</v>
      </c>
      <c r="C60" s="63" t="s">
        <v>104</v>
      </c>
      <c r="D60" s="6">
        <f>D61+D62+D64+D83+D86+D89+D66+D87+D88+D65+D81+D63+D82+D84+D85</f>
        <v>2654.3408299999996</v>
      </c>
      <c r="E60" s="6">
        <f>E61+E62+E64+E83+E86+E89+E66+E87+E88+E65+E81+E63+E82+E84+E85</f>
        <v>949.1999999999999</v>
      </c>
      <c r="F60" s="6">
        <f>F61+F62+F64+F83+F86+F89+F66+F87+F88+F65+F81+F63+F82+F84+F85</f>
        <v>1763.6425199999999</v>
      </c>
      <c r="G60" s="6">
        <f>G61+G62+G64+G83+G86+G89+G66+G87+G88+G65+G81</f>
        <v>1631.81502</v>
      </c>
      <c r="H60" s="5">
        <f t="shared" si="4"/>
        <v>-890.6983099999998</v>
      </c>
      <c r="I60" s="6">
        <f t="shared" si="5"/>
        <v>66.44370986826135</v>
      </c>
      <c r="J60" s="2"/>
      <c r="L60" s="37"/>
    </row>
    <row r="61" spans="1:12" ht="30.75" customHeight="1">
      <c r="A61" s="17" t="s">
        <v>304</v>
      </c>
      <c r="B61" s="64" t="s">
        <v>305</v>
      </c>
      <c r="C61" s="55" t="s">
        <v>155</v>
      </c>
      <c r="D61" s="6">
        <v>817.493</v>
      </c>
      <c r="E61" s="6">
        <v>256.9</v>
      </c>
      <c r="F61" s="5">
        <v>743.39772</v>
      </c>
      <c r="G61" s="5">
        <f>F61-L60</f>
        <v>743.39772</v>
      </c>
      <c r="H61" s="5">
        <f t="shared" si="4"/>
        <v>-74.09528</v>
      </c>
      <c r="I61" s="6">
        <f t="shared" si="5"/>
        <v>90.93627957670586</v>
      </c>
      <c r="J61" s="2"/>
      <c r="L61" s="37"/>
    </row>
    <row r="62" spans="1:12" ht="48" customHeight="1">
      <c r="A62" s="17" t="s">
        <v>303</v>
      </c>
      <c r="B62" s="64" t="s">
        <v>336</v>
      </c>
      <c r="C62" s="55" t="s">
        <v>156</v>
      </c>
      <c r="D62" s="6">
        <v>520</v>
      </c>
      <c r="E62" s="6">
        <v>28.4</v>
      </c>
      <c r="F62" s="5">
        <v>291.80035</v>
      </c>
      <c r="G62" s="5">
        <f>F62-L61</f>
        <v>291.80035</v>
      </c>
      <c r="H62" s="5">
        <f t="shared" si="4"/>
        <v>-228.19965000000002</v>
      </c>
      <c r="I62" s="6">
        <f t="shared" si="5"/>
        <v>56.11545192307692</v>
      </c>
      <c r="J62" s="2"/>
      <c r="L62" s="2"/>
    </row>
    <row r="63" spans="1:12" ht="47.25">
      <c r="A63" s="17"/>
      <c r="B63" s="64" t="s">
        <v>41</v>
      </c>
      <c r="C63" s="55" t="s">
        <v>157</v>
      </c>
      <c r="D63" s="6">
        <v>0.082</v>
      </c>
      <c r="E63" s="6"/>
      <c r="F63" s="6">
        <v>0</v>
      </c>
      <c r="G63" s="5"/>
      <c r="H63" s="5">
        <f t="shared" si="4"/>
        <v>-0.082</v>
      </c>
      <c r="I63" s="6">
        <f t="shared" si="5"/>
        <v>0</v>
      </c>
      <c r="J63" s="2"/>
      <c r="L63" s="2"/>
    </row>
    <row r="64" spans="1:12" ht="34.5" customHeight="1">
      <c r="A64" s="17" t="s">
        <v>308</v>
      </c>
      <c r="B64" s="64" t="s">
        <v>309</v>
      </c>
      <c r="C64" s="74" t="s">
        <v>158</v>
      </c>
      <c r="D64" s="6">
        <f>969.13942-1.525</f>
        <v>967.61442</v>
      </c>
      <c r="E64" s="6">
        <v>605.1</v>
      </c>
      <c r="F64" s="6">
        <v>496.43863</v>
      </c>
      <c r="G64" s="5">
        <f>F64-L63</f>
        <v>496.43863</v>
      </c>
      <c r="H64" s="5">
        <f t="shared" si="4"/>
        <v>-471.17579</v>
      </c>
      <c r="I64" s="6">
        <f t="shared" si="5"/>
        <v>51.30541874313944</v>
      </c>
      <c r="J64" s="2"/>
      <c r="L64" s="39"/>
    </row>
    <row r="65" spans="1:12" ht="31.5">
      <c r="A65" s="17" t="s">
        <v>308</v>
      </c>
      <c r="B65" s="64" t="s">
        <v>309</v>
      </c>
      <c r="C65" s="74" t="s">
        <v>159</v>
      </c>
      <c r="D65" s="6">
        <v>37.486</v>
      </c>
      <c r="E65" s="6"/>
      <c r="F65" s="6">
        <v>35.2854</v>
      </c>
      <c r="G65" s="5"/>
      <c r="H65" s="5">
        <f t="shared" si="4"/>
        <v>-2.2005999999999943</v>
      </c>
      <c r="I65" s="6">
        <f t="shared" si="5"/>
        <v>94.12954169556636</v>
      </c>
      <c r="J65" s="2"/>
      <c r="L65" s="39"/>
    </row>
    <row r="66" spans="1:12" ht="33" customHeight="1">
      <c r="A66" s="17" t="s">
        <v>308</v>
      </c>
      <c r="B66" s="64" t="s">
        <v>309</v>
      </c>
      <c r="C66" s="74" t="s">
        <v>160</v>
      </c>
      <c r="D66" s="6">
        <v>90</v>
      </c>
      <c r="E66" s="6">
        <v>13</v>
      </c>
      <c r="F66" s="5">
        <v>44.63548</v>
      </c>
      <c r="G66" s="5">
        <f>F66-L64</f>
        <v>44.63548</v>
      </c>
      <c r="H66" s="5">
        <f t="shared" si="4"/>
        <v>-45.36452</v>
      </c>
      <c r="I66" s="6">
        <f t="shared" si="5"/>
        <v>49.59497777777778</v>
      </c>
      <c r="J66" s="2"/>
      <c r="L66" s="39"/>
    </row>
    <row r="67" spans="1:12" ht="30" customHeight="1" hidden="1">
      <c r="A67" s="17" t="s">
        <v>308</v>
      </c>
      <c r="B67" s="64" t="s">
        <v>309</v>
      </c>
      <c r="C67" s="74" t="s">
        <v>77</v>
      </c>
      <c r="D67" s="6"/>
      <c r="E67" s="6">
        <v>13</v>
      </c>
      <c r="F67" s="5"/>
      <c r="G67" s="5">
        <f aca="true" t="shared" si="8" ref="G67:G80">F67-L66</f>
        <v>0</v>
      </c>
      <c r="H67" s="5">
        <f t="shared" si="4"/>
        <v>0</v>
      </c>
      <c r="I67" s="6" t="e">
        <f t="shared" si="5"/>
        <v>#DIV/0!</v>
      </c>
      <c r="J67" s="2"/>
      <c r="L67" s="39"/>
    </row>
    <row r="68" spans="1:12" ht="30.75" customHeight="1" hidden="1">
      <c r="A68" s="17" t="s">
        <v>308</v>
      </c>
      <c r="B68" s="64" t="s">
        <v>309</v>
      </c>
      <c r="C68" s="74" t="s">
        <v>410</v>
      </c>
      <c r="D68" s="6"/>
      <c r="E68" s="6">
        <v>5</v>
      </c>
      <c r="F68" s="5"/>
      <c r="G68" s="5">
        <f t="shared" si="8"/>
        <v>0</v>
      </c>
      <c r="H68" s="5">
        <f aca="true" t="shared" si="9" ref="H68:H91">F68-D68</f>
        <v>0</v>
      </c>
      <c r="I68" s="6" t="e">
        <f aca="true" t="shared" si="10" ref="I68:I101">F68/D68*100</f>
        <v>#DIV/0!</v>
      </c>
      <c r="J68" s="2"/>
      <c r="L68" s="39"/>
    </row>
    <row r="69" spans="1:12" ht="31.5" customHeight="1" hidden="1">
      <c r="A69" s="17" t="s">
        <v>308</v>
      </c>
      <c r="B69" s="64" t="s">
        <v>309</v>
      </c>
      <c r="C69" s="74" t="s">
        <v>386</v>
      </c>
      <c r="D69" s="6"/>
      <c r="E69" s="6">
        <v>3</v>
      </c>
      <c r="F69" s="5"/>
      <c r="G69" s="5">
        <f t="shared" si="8"/>
        <v>0</v>
      </c>
      <c r="H69" s="5">
        <f t="shared" si="9"/>
        <v>0</v>
      </c>
      <c r="I69" s="6" t="e">
        <f t="shared" si="10"/>
        <v>#DIV/0!</v>
      </c>
      <c r="J69" s="2"/>
      <c r="L69" s="39"/>
    </row>
    <row r="70" spans="1:12" ht="33" customHeight="1" hidden="1">
      <c r="A70" s="17" t="s">
        <v>308</v>
      </c>
      <c r="B70" s="64" t="s">
        <v>309</v>
      </c>
      <c r="C70" s="74" t="s">
        <v>381</v>
      </c>
      <c r="D70" s="6"/>
      <c r="E70" s="6">
        <v>5</v>
      </c>
      <c r="F70" s="5"/>
      <c r="G70" s="5">
        <f t="shared" si="8"/>
        <v>0</v>
      </c>
      <c r="H70" s="5">
        <f t="shared" si="9"/>
        <v>0</v>
      </c>
      <c r="I70" s="6" t="e">
        <f t="shared" si="10"/>
        <v>#DIV/0!</v>
      </c>
      <c r="J70" s="2"/>
      <c r="L70" s="39"/>
    </row>
    <row r="71" spans="1:12" ht="29.25" customHeight="1" hidden="1">
      <c r="A71" s="17" t="s">
        <v>308</v>
      </c>
      <c r="B71" s="64" t="s">
        <v>309</v>
      </c>
      <c r="C71" s="74" t="s">
        <v>403</v>
      </c>
      <c r="D71" s="6"/>
      <c r="E71" s="6">
        <v>5</v>
      </c>
      <c r="F71" s="5"/>
      <c r="G71" s="5">
        <f t="shared" si="8"/>
        <v>0</v>
      </c>
      <c r="H71" s="5">
        <f t="shared" si="9"/>
        <v>0</v>
      </c>
      <c r="I71" s="6" t="e">
        <f t="shared" si="10"/>
        <v>#DIV/0!</v>
      </c>
      <c r="J71" s="2"/>
      <c r="L71" s="39"/>
    </row>
    <row r="72" spans="1:12" ht="31.5" customHeight="1" hidden="1">
      <c r="A72" s="17" t="s">
        <v>308</v>
      </c>
      <c r="B72" s="64" t="s">
        <v>309</v>
      </c>
      <c r="C72" s="74" t="s">
        <v>379</v>
      </c>
      <c r="D72" s="6"/>
      <c r="E72" s="6">
        <v>45</v>
      </c>
      <c r="F72" s="5"/>
      <c r="G72" s="5">
        <f t="shared" si="8"/>
        <v>0</v>
      </c>
      <c r="H72" s="5">
        <f t="shared" si="9"/>
        <v>0</v>
      </c>
      <c r="I72" s="6" t="e">
        <f t="shared" si="10"/>
        <v>#DIV/0!</v>
      </c>
      <c r="J72" s="2"/>
      <c r="L72" s="39"/>
    </row>
    <row r="73" spans="1:12" ht="30" customHeight="1" hidden="1">
      <c r="A73" s="17" t="s">
        <v>308</v>
      </c>
      <c r="B73" s="64" t="s">
        <v>309</v>
      </c>
      <c r="C73" s="74" t="s">
        <v>390</v>
      </c>
      <c r="D73" s="6"/>
      <c r="E73" s="6">
        <v>36</v>
      </c>
      <c r="F73" s="5"/>
      <c r="G73" s="5">
        <f t="shared" si="8"/>
        <v>0</v>
      </c>
      <c r="H73" s="5">
        <f t="shared" si="9"/>
        <v>0</v>
      </c>
      <c r="I73" s="6" t="e">
        <f t="shared" si="10"/>
        <v>#DIV/0!</v>
      </c>
      <c r="J73" s="2"/>
      <c r="L73" s="39"/>
    </row>
    <row r="74" spans="1:12" ht="33.75" customHeight="1" hidden="1">
      <c r="A74" s="17" t="s">
        <v>308</v>
      </c>
      <c r="B74" s="64" t="s">
        <v>309</v>
      </c>
      <c r="C74" s="74" t="s">
        <v>380</v>
      </c>
      <c r="D74" s="6"/>
      <c r="E74" s="6">
        <v>4.5</v>
      </c>
      <c r="F74" s="5"/>
      <c r="G74" s="5">
        <f t="shared" si="8"/>
        <v>0</v>
      </c>
      <c r="H74" s="5">
        <f t="shared" si="9"/>
        <v>0</v>
      </c>
      <c r="I74" s="6" t="e">
        <f t="shared" si="10"/>
        <v>#DIV/0!</v>
      </c>
      <c r="J74" s="2"/>
      <c r="L74" s="39"/>
    </row>
    <row r="75" spans="1:12" ht="33" customHeight="1" hidden="1">
      <c r="A75" s="17" t="s">
        <v>308</v>
      </c>
      <c r="B75" s="64" t="s">
        <v>309</v>
      </c>
      <c r="C75" s="63" t="s">
        <v>411</v>
      </c>
      <c r="D75" s="6"/>
      <c r="E75" s="6">
        <v>6</v>
      </c>
      <c r="F75" s="5"/>
      <c r="G75" s="5">
        <f t="shared" si="8"/>
        <v>0</v>
      </c>
      <c r="H75" s="5">
        <f t="shared" si="9"/>
        <v>0</v>
      </c>
      <c r="I75" s="6" t="e">
        <f t="shared" si="10"/>
        <v>#DIV/0!</v>
      </c>
      <c r="J75" s="2"/>
      <c r="L75" s="39"/>
    </row>
    <row r="76" spans="1:12" ht="33.75" customHeight="1" hidden="1">
      <c r="A76" s="17" t="s">
        <v>308</v>
      </c>
      <c r="B76" s="64" t="s">
        <v>309</v>
      </c>
      <c r="C76" s="74" t="s">
        <v>378</v>
      </c>
      <c r="D76" s="6"/>
      <c r="E76" s="6">
        <v>15</v>
      </c>
      <c r="F76" s="5"/>
      <c r="G76" s="5">
        <f t="shared" si="8"/>
        <v>0</v>
      </c>
      <c r="H76" s="5">
        <f t="shared" si="9"/>
        <v>0</v>
      </c>
      <c r="I76" s="6" t="e">
        <f t="shared" si="10"/>
        <v>#DIV/0!</v>
      </c>
      <c r="J76" s="2"/>
      <c r="L76" s="39"/>
    </row>
    <row r="77" spans="1:12" ht="36.75" customHeight="1" hidden="1">
      <c r="A77" s="17" t="s">
        <v>308</v>
      </c>
      <c r="B77" s="64" t="s">
        <v>309</v>
      </c>
      <c r="C77" s="74" t="s">
        <v>408</v>
      </c>
      <c r="D77" s="6"/>
      <c r="E77" s="6">
        <v>70</v>
      </c>
      <c r="F77" s="5"/>
      <c r="G77" s="5">
        <f t="shared" si="8"/>
        <v>0</v>
      </c>
      <c r="H77" s="5">
        <f t="shared" si="9"/>
        <v>0</v>
      </c>
      <c r="I77" s="6" t="e">
        <f t="shared" si="10"/>
        <v>#DIV/0!</v>
      </c>
      <c r="J77" s="2"/>
      <c r="L77" s="39"/>
    </row>
    <row r="78" spans="1:12" ht="39" customHeight="1" hidden="1">
      <c r="A78" s="17" t="s">
        <v>308</v>
      </c>
      <c r="B78" s="64" t="s">
        <v>309</v>
      </c>
      <c r="C78" s="74" t="s">
        <v>407</v>
      </c>
      <c r="D78" s="6"/>
      <c r="E78" s="6">
        <v>40</v>
      </c>
      <c r="F78" s="5"/>
      <c r="G78" s="5">
        <f t="shared" si="8"/>
        <v>0</v>
      </c>
      <c r="H78" s="5">
        <f t="shared" si="9"/>
        <v>0</v>
      </c>
      <c r="I78" s="6" t="e">
        <f t="shared" si="10"/>
        <v>#DIV/0!</v>
      </c>
      <c r="J78" s="2"/>
      <c r="L78" s="39"/>
    </row>
    <row r="79" spans="1:12" ht="42.75" customHeight="1" hidden="1">
      <c r="A79" s="17" t="s">
        <v>308</v>
      </c>
      <c r="B79" s="64" t="s">
        <v>309</v>
      </c>
      <c r="C79" s="74" t="s">
        <v>385</v>
      </c>
      <c r="D79" s="6"/>
      <c r="E79" s="6">
        <v>6</v>
      </c>
      <c r="F79" s="5"/>
      <c r="G79" s="5">
        <f t="shared" si="8"/>
        <v>0</v>
      </c>
      <c r="H79" s="5">
        <f t="shared" si="9"/>
        <v>0</v>
      </c>
      <c r="I79" s="6" t="e">
        <f t="shared" si="10"/>
        <v>#DIV/0!</v>
      </c>
      <c r="J79" s="2"/>
      <c r="L79" s="39"/>
    </row>
    <row r="80" spans="1:12" ht="44.25" customHeight="1" hidden="1">
      <c r="A80" s="17" t="s">
        <v>308</v>
      </c>
      <c r="B80" s="64" t="s">
        <v>309</v>
      </c>
      <c r="C80" s="63" t="s">
        <v>409</v>
      </c>
      <c r="D80" s="6"/>
      <c r="E80" s="6">
        <v>20</v>
      </c>
      <c r="F80" s="5"/>
      <c r="G80" s="5">
        <f t="shared" si="8"/>
        <v>0</v>
      </c>
      <c r="H80" s="5">
        <f t="shared" si="9"/>
        <v>0</v>
      </c>
      <c r="I80" s="6" t="e">
        <f t="shared" si="10"/>
        <v>#DIV/0!</v>
      </c>
      <c r="J80" s="2"/>
      <c r="L80" s="37"/>
    </row>
    <row r="81" spans="1:12" ht="47.25">
      <c r="A81" s="17"/>
      <c r="B81" s="64" t="s">
        <v>18</v>
      </c>
      <c r="C81" s="63" t="s">
        <v>61</v>
      </c>
      <c r="D81" s="6">
        <v>7.525</v>
      </c>
      <c r="E81" s="6"/>
      <c r="F81" s="5">
        <v>6.15169</v>
      </c>
      <c r="G81" s="5"/>
      <c r="H81" s="5">
        <f t="shared" si="9"/>
        <v>-1.37331</v>
      </c>
      <c r="I81" s="6">
        <f t="shared" si="10"/>
        <v>81.75003322259137</v>
      </c>
      <c r="J81" s="2"/>
      <c r="L81" s="37"/>
    </row>
    <row r="82" spans="1:12" ht="46.5" customHeight="1">
      <c r="A82" s="17"/>
      <c r="B82" s="64" t="s">
        <v>18</v>
      </c>
      <c r="C82" s="63" t="s">
        <v>162</v>
      </c>
      <c r="D82" s="6">
        <f>10+14</f>
        <v>24</v>
      </c>
      <c r="E82" s="6"/>
      <c r="F82" s="5">
        <v>14</v>
      </c>
      <c r="G82" s="5"/>
      <c r="H82" s="5">
        <f t="shared" si="9"/>
        <v>-10</v>
      </c>
      <c r="I82" s="6">
        <f t="shared" si="10"/>
        <v>58.333333333333336</v>
      </c>
      <c r="J82" s="2"/>
      <c r="L82" s="37"/>
    </row>
    <row r="83" spans="1:12" ht="31.5" hidden="1">
      <c r="A83" s="17" t="s">
        <v>306</v>
      </c>
      <c r="B83" s="64" t="s">
        <v>307</v>
      </c>
      <c r="C83" s="74" t="s">
        <v>468</v>
      </c>
      <c r="D83" s="6">
        <v>0</v>
      </c>
      <c r="E83" s="6">
        <v>2.4</v>
      </c>
      <c r="F83" s="5"/>
      <c r="G83" s="5">
        <f>F83-L80</f>
        <v>0</v>
      </c>
      <c r="H83" s="5">
        <f t="shared" si="9"/>
        <v>0</v>
      </c>
      <c r="I83" s="6" t="e">
        <f t="shared" si="10"/>
        <v>#DIV/0!</v>
      </c>
      <c r="J83" s="2"/>
      <c r="L83" s="37"/>
    </row>
    <row r="84" spans="1:12" ht="47.25" hidden="1">
      <c r="A84" s="17"/>
      <c r="B84" s="64" t="s">
        <v>18</v>
      </c>
      <c r="C84" s="74" t="s">
        <v>163</v>
      </c>
      <c r="D84" s="6">
        <v>0</v>
      </c>
      <c r="E84" s="6"/>
      <c r="F84" s="5"/>
      <c r="G84" s="5"/>
      <c r="H84" s="5">
        <f t="shared" si="9"/>
        <v>0</v>
      </c>
      <c r="I84" s="6" t="e">
        <f t="shared" si="10"/>
        <v>#DIV/0!</v>
      </c>
      <c r="J84" s="2"/>
      <c r="L84" s="37"/>
    </row>
    <row r="85" spans="1:12" ht="31.5">
      <c r="A85" s="17"/>
      <c r="B85" s="64" t="s">
        <v>85</v>
      </c>
      <c r="C85" s="74" t="s">
        <v>164</v>
      </c>
      <c r="D85" s="6">
        <v>59.95041</v>
      </c>
      <c r="E85" s="6"/>
      <c r="F85" s="5">
        <v>59.95041</v>
      </c>
      <c r="G85" s="5"/>
      <c r="H85" s="5">
        <f t="shared" si="9"/>
        <v>0</v>
      </c>
      <c r="I85" s="6">
        <f t="shared" si="10"/>
        <v>100</v>
      </c>
      <c r="J85" s="2"/>
      <c r="L85" s="37"/>
    </row>
    <row r="86" spans="1:12" ht="31.5">
      <c r="A86" s="17" t="s">
        <v>308</v>
      </c>
      <c r="B86" s="64" t="s">
        <v>337</v>
      </c>
      <c r="C86" s="74" t="s">
        <v>26</v>
      </c>
      <c r="D86" s="6">
        <v>86.65</v>
      </c>
      <c r="E86" s="6">
        <v>38.3</v>
      </c>
      <c r="F86" s="5">
        <v>49.3782</v>
      </c>
      <c r="G86" s="5">
        <f>F86-L83</f>
        <v>49.3782</v>
      </c>
      <c r="H86" s="5">
        <f t="shared" si="9"/>
        <v>-37.271800000000006</v>
      </c>
      <c r="I86" s="6">
        <f t="shared" si="10"/>
        <v>56.98580496249278</v>
      </c>
      <c r="J86" s="2"/>
      <c r="L86" s="37"/>
    </row>
    <row r="87" spans="1:12" ht="63" hidden="1">
      <c r="A87" s="17"/>
      <c r="B87" s="64" t="s">
        <v>337</v>
      </c>
      <c r="C87" s="74" t="s">
        <v>8</v>
      </c>
      <c r="D87" s="6">
        <v>0</v>
      </c>
      <c r="E87" s="6"/>
      <c r="F87" s="5"/>
      <c r="G87" s="5"/>
      <c r="H87" s="5">
        <f t="shared" si="9"/>
        <v>0</v>
      </c>
      <c r="I87" s="6" t="e">
        <f t="shared" si="10"/>
        <v>#DIV/0!</v>
      </c>
      <c r="J87" s="2"/>
      <c r="L87" s="37"/>
    </row>
    <row r="88" spans="1:12" ht="31.5">
      <c r="A88" s="17" t="s">
        <v>308</v>
      </c>
      <c r="B88" s="64" t="s">
        <v>337</v>
      </c>
      <c r="C88" s="74" t="s">
        <v>165</v>
      </c>
      <c r="D88" s="6">
        <v>24.24</v>
      </c>
      <c r="E88" s="6"/>
      <c r="F88" s="5">
        <v>16.44</v>
      </c>
      <c r="G88" s="5"/>
      <c r="H88" s="5">
        <f t="shared" si="9"/>
        <v>-7.799999999999997</v>
      </c>
      <c r="I88" s="6">
        <f t="shared" si="10"/>
        <v>67.82178217821783</v>
      </c>
      <c r="J88" s="2"/>
      <c r="L88" s="37"/>
    </row>
    <row r="89" spans="1:12" ht="33.75" customHeight="1">
      <c r="A89" s="17" t="s">
        <v>308</v>
      </c>
      <c r="B89" s="72" t="s">
        <v>412</v>
      </c>
      <c r="C89" s="63" t="s">
        <v>166</v>
      </c>
      <c r="D89" s="6">
        <v>19.3</v>
      </c>
      <c r="E89" s="6">
        <v>5.1</v>
      </c>
      <c r="F89" s="5">
        <v>6.16464</v>
      </c>
      <c r="G89" s="5">
        <f>F89-L86</f>
        <v>6.16464</v>
      </c>
      <c r="H89" s="5">
        <f t="shared" si="9"/>
        <v>-13.13536</v>
      </c>
      <c r="I89" s="6">
        <f t="shared" si="10"/>
        <v>31.941139896373056</v>
      </c>
      <c r="J89" s="2"/>
      <c r="L89" s="37"/>
    </row>
    <row r="90" spans="1:12" ht="67.5" customHeight="1" hidden="1">
      <c r="A90" s="19" t="s">
        <v>304</v>
      </c>
      <c r="B90" s="72" t="s">
        <v>19</v>
      </c>
      <c r="C90" s="55" t="s">
        <v>31</v>
      </c>
      <c r="D90" s="6">
        <v>0</v>
      </c>
      <c r="E90" s="6">
        <v>301.4</v>
      </c>
      <c r="F90" s="5">
        <v>0</v>
      </c>
      <c r="G90" s="5">
        <f>F90-L89</f>
        <v>0</v>
      </c>
      <c r="H90" s="5">
        <f t="shared" si="9"/>
        <v>0</v>
      </c>
      <c r="I90" s="6" t="e">
        <f t="shared" si="10"/>
        <v>#DIV/0!</v>
      </c>
      <c r="J90" s="2"/>
      <c r="L90" s="2"/>
    </row>
    <row r="91" spans="1:12" ht="68.25" customHeight="1" hidden="1">
      <c r="A91" s="19" t="s">
        <v>304</v>
      </c>
      <c r="B91" s="72" t="s">
        <v>19</v>
      </c>
      <c r="C91" s="55" t="s">
        <v>105</v>
      </c>
      <c r="D91" s="6"/>
      <c r="E91" s="6"/>
      <c r="F91" s="5"/>
      <c r="G91" s="5"/>
      <c r="H91" s="5">
        <f t="shared" si="9"/>
        <v>0</v>
      </c>
      <c r="I91" s="6" t="e">
        <f t="shared" si="10"/>
        <v>#DIV/0!</v>
      </c>
      <c r="J91" s="2"/>
      <c r="L91" s="2"/>
    </row>
    <row r="92" spans="1:12" ht="15.75">
      <c r="A92" s="17" t="s">
        <v>304</v>
      </c>
      <c r="B92" s="79" t="s">
        <v>442</v>
      </c>
      <c r="C92" s="74" t="s">
        <v>443</v>
      </c>
      <c r="D92" s="6">
        <f>SUM(D93:D102)</f>
        <v>688.0050000000001</v>
      </c>
      <c r="E92" s="6">
        <f>SUM(E93:E102)</f>
        <v>163.6</v>
      </c>
      <c r="F92" s="6">
        <f>SUM(F93:F102)</f>
        <v>399.1828900000001</v>
      </c>
      <c r="G92" s="6">
        <f>SUM(G93:G102)</f>
        <v>190.04311</v>
      </c>
      <c r="H92" s="6">
        <f>SUM(H93:H102)</f>
        <v>-288.82210999999995</v>
      </c>
      <c r="I92" s="6">
        <f t="shared" si="10"/>
        <v>58.02034723584858</v>
      </c>
      <c r="J92" s="2"/>
      <c r="L92" s="37"/>
    </row>
    <row r="93" spans="1:12" ht="33" customHeight="1">
      <c r="A93" s="17" t="s">
        <v>304</v>
      </c>
      <c r="B93" s="48" t="s">
        <v>365</v>
      </c>
      <c r="C93" s="18" t="s">
        <v>32</v>
      </c>
      <c r="D93" s="1">
        <v>331.091</v>
      </c>
      <c r="E93" s="1">
        <v>124.6</v>
      </c>
      <c r="F93" s="4">
        <v>190.04311</v>
      </c>
      <c r="G93" s="5">
        <f>F93-L92</f>
        <v>190.04311</v>
      </c>
      <c r="H93" s="4">
        <f aca="true" t="shared" si="11" ref="H93:H101">F93-D93</f>
        <v>-141.04789</v>
      </c>
      <c r="I93" s="1">
        <f t="shared" si="10"/>
        <v>57.399056452757705</v>
      </c>
      <c r="J93" s="2"/>
      <c r="L93" s="37"/>
    </row>
    <row r="94" spans="1:12" ht="47.25" hidden="1">
      <c r="A94" s="17" t="s">
        <v>304</v>
      </c>
      <c r="B94" s="48" t="s">
        <v>344</v>
      </c>
      <c r="C94" s="18" t="s">
        <v>12</v>
      </c>
      <c r="D94" s="1">
        <v>0</v>
      </c>
      <c r="E94" s="1">
        <v>22</v>
      </c>
      <c r="F94" s="4"/>
      <c r="G94" s="5">
        <f>F94-L93</f>
        <v>0</v>
      </c>
      <c r="H94" s="4">
        <f t="shared" si="11"/>
        <v>0</v>
      </c>
      <c r="I94" s="1" t="e">
        <f t="shared" si="10"/>
        <v>#DIV/0!</v>
      </c>
      <c r="J94" s="2"/>
      <c r="L94" s="37"/>
    </row>
    <row r="95" spans="1:12" ht="0.75" customHeight="1" hidden="1">
      <c r="A95" s="17" t="s">
        <v>304</v>
      </c>
      <c r="B95" s="48" t="s">
        <v>366</v>
      </c>
      <c r="C95" s="18" t="s">
        <v>12</v>
      </c>
      <c r="D95" s="1">
        <v>0</v>
      </c>
      <c r="E95" s="1">
        <v>17</v>
      </c>
      <c r="F95" s="4"/>
      <c r="G95" s="5">
        <f>F95-L94</f>
        <v>0</v>
      </c>
      <c r="H95" s="4">
        <f t="shared" si="11"/>
        <v>0</v>
      </c>
      <c r="I95" s="1" t="e">
        <f t="shared" si="10"/>
        <v>#DIV/0!</v>
      </c>
      <c r="J95" s="2"/>
      <c r="L95" s="2"/>
    </row>
    <row r="96" spans="1:12" ht="65.25" customHeight="1">
      <c r="A96" s="17"/>
      <c r="B96" s="48" t="s">
        <v>365</v>
      </c>
      <c r="C96" s="18" t="s">
        <v>167</v>
      </c>
      <c r="D96" s="1">
        <v>287.3</v>
      </c>
      <c r="E96" s="1"/>
      <c r="F96" s="4">
        <v>176.94657</v>
      </c>
      <c r="G96" s="5"/>
      <c r="H96" s="4">
        <f t="shared" si="11"/>
        <v>-110.35343</v>
      </c>
      <c r="I96" s="1">
        <f t="shared" si="10"/>
        <v>61.58947789766794</v>
      </c>
      <c r="J96" s="2"/>
      <c r="L96" s="2"/>
    </row>
    <row r="97" spans="1:12" ht="44.25" customHeight="1">
      <c r="A97" s="17"/>
      <c r="B97" s="48" t="s">
        <v>366</v>
      </c>
      <c r="C97" s="18" t="s">
        <v>168</v>
      </c>
      <c r="D97" s="1">
        <v>5.48</v>
      </c>
      <c r="E97" s="1"/>
      <c r="F97" s="5">
        <v>2.458</v>
      </c>
      <c r="G97" s="5"/>
      <c r="H97" s="4">
        <f t="shared" si="11"/>
        <v>-3.0220000000000002</v>
      </c>
      <c r="I97" s="1">
        <f t="shared" si="10"/>
        <v>44.85401459854015</v>
      </c>
      <c r="J97" s="2"/>
      <c r="L97" s="2"/>
    </row>
    <row r="98" spans="1:12" ht="49.5" customHeight="1">
      <c r="A98" s="17"/>
      <c r="B98" s="48" t="s">
        <v>366</v>
      </c>
      <c r="C98" s="18" t="s">
        <v>168</v>
      </c>
      <c r="D98" s="1">
        <v>24.7</v>
      </c>
      <c r="E98" s="1"/>
      <c r="F98" s="5">
        <v>1.60636</v>
      </c>
      <c r="G98" s="5"/>
      <c r="H98" s="4">
        <f t="shared" si="11"/>
        <v>-23.09364</v>
      </c>
      <c r="I98" s="1">
        <f t="shared" si="10"/>
        <v>6.503481781376519</v>
      </c>
      <c r="J98" s="2"/>
      <c r="L98" s="2"/>
    </row>
    <row r="99" spans="1:12" ht="48.75" customHeight="1">
      <c r="A99" s="17" t="s">
        <v>304</v>
      </c>
      <c r="B99" s="48" t="s">
        <v>366</v>
      </c>
      <c r="C99" s="7" t="s">
        <v>169</v>
      </c>
      <c r="D99" s="1">
        <v>35</v>
      </c>
      <c r="E99" s="1"/>
      <c r="F99" s="5">
        <v>27.29585</v>
      </c>
      <c r="G99" s="5"/>
      <c r="H99" s="4">
        <f t="shared" si="11"/>
        <v>-7.7041499999999985</v>
      </c>
      <c r="I99" s="1">
        <f t="shared" si="10"/>
        <v>77.98814285714286</v>
      </c>
      <c r="J99" s="2"/>
      <c r="L99" s="2"/>
    </row>
    <row r="100" spans="1:12" ht="64.5" customHeight="1">
      <c r="A100" s="17"/>
      <c r="B100" s="48" t="s">
        <v>78</v>
      </c>
      <c r="C100" s="7" t="s">
        <v>170</v>
      </c>
      <c r="D100" s="1">
        <v>0.434</v>
      </c>
      <c r="E100" s="1"/>
      <c r="F100" s="4">
        <v>0.434</v>
      </c>
      <c r="G100" s="5"/>
      <c r="H100" s="4">
        <f t="shared" si="11"/>
        <v>0</v>
      </c>
      <c r="I100" s="1">
        <f t="shared" si="10"/>
        <v>100</v>
      </c>
      <c r="J100" s="2"/>
      <c r="L100" s="2"/>
    </row>
    <row r="101" spans="1:12" ht="50.25" customHeight="1">
      <c r="A101" s="17"/>
      <c r="B101" s="48" t="s">
        <v>78</v>
      </c>
      <c r="C101" s="7" t="s">
        <v>182</v>
      </c>
      <c r="D101" s="1">
        <v>4</v>
      </c>
      <c r="E101" s="1"/>
      <c r="F101" s="4">
        <v>0.399</v>
      </c>
      <c r="G101" s="5"/>
      <c r="H101" s="4">
        <f t="shared" si="11"/>
        <v>-3.601</v>
      </c>
      <c r="I101" s="1">
        <f t="shared" si="10"/>
        <v>9.975000000000001</v>
      </c>
      <c r="J101" s="2"/>
      <c r="L101" s="2"/>
    </row>
    <row r="102" spans="1:12" ht="50.25" customHeight="1" hidden="1">
      <c r="A102" s="17"/>
      <c r="B102" s="48" t="s">
        <v>25</v>
      </c>
      <c r="C102" s="18" t="s">
        <v>33</v>
      </c>
      <c r="D102" s="1"/>
      <c r="E102" s="1"/>
      <c r="F102" s="4"/>
      <c r="G102" s="5"/>
      <c r="H102" s="4"/>
      <c r="I102" s="1"/>
      <c r="J102" s="2"/>
      <c r="L102" s="2"/>
    </row>
    <row r="103" spans="1:12" ht="15.75">
      <c r="A103" s="17"/>
      <c r="B103" s="64" t="s">
        <v>310</v>
      </c>
      <c r="C103" s="74" t="s">
        <v>106</v>
      </c>
      <c r="D103" s="6">
        <f>SUM(D104:D108)</f>
        <v>1899.8842200000001</v>
      </c>
      <c r="E103" s="6">
        <f>SUM(E104:E108)</f>
        <v>661.9</v>
      </c>
      <c r="F103" s="6">
        <f>SUM(F104:F108)</f>
        <v>1161.4508600000001</v>
      </c>
      <c r="G103" s="6">
        <f>SUM(G104:G108)</f>
        <v>1105.78546</v>
      </c>
      <c r="H103" s="5">
        <f aca="true" t="shared" si="12" ref="H103:H134">F103-D103</f>
        <v>-738.43336</v>
      </c>
      <c r="I103" s="6">
        <f aca="true" t="shared" si="13" ref="I103:I134">F103/D103*100</f>
        <v>61.13271786635504</v>
      </c>
      <c r="J103" s="2"/>
      <c r="L103" s="2"/>
    </row>
    <row r="104" spans="1:12" ht="65.25" customHeight="1">
      <c r="A104" s="17" t="s">
        <v>311</v>
      </c>
      <c r="B104" s="48" t="s">
        <v>312</v>
      </c>
      <c r="C104" s="18" t="s">
        <v>66</v>
      </c>
      <c r="D104" s="1">
        <v>1625.51422</v>
      </c>
      <c r="E104" s="1">
        <v>392.3</v>
      </c>
      <c r="F104" s="1">
        <v>1018.73261</v>
      </c>
      <c r="G104" s="5">
        <f>F104-L103</f>
        <v>1018.73261</v>
      </c>
      <c r="H104" s="4">
        <f t="shared" si="12"/>
        <v>-606.78161</v>
      </c>
      <c r="I104" s="1">
        <f t="shared" si="13"/>
        <v>62.671405606036465</v>
      </c>
      <c r="J104" s="2"/>
      <c r="L104" s="37"/>
    </row>
    <row r="105" spans="1:12" ht="79.5" customHeight="1">
      <c r="A105" s="17" t="s">
        <v>311</v>
      </c>
      <c r="B105" s="48" t="s">
        <v>20</v>
      </c>
      <c r="C105" s="7" t="s">
        <v>272</v>
      </c>
      <c r="D105" s="1">
        <v>140</v>
      </c>
      <c r="E105" s="1"/>
      <c r="F105" s="1">
        <v>55.6654</v>
      </c>
      <c r="G105" s="5"/>
      <c r="H105" s="4">
        <f t="shared" si="12"/>
        <v>-84.3346</v>
      </c>
      <c r="I105" s="1">
        <f t="shared" si="13"/>
        <v>39.760999999999996</v>
      </c>
      <c r="J105" s="2"/>
      <c r="L105" s="37"/>
    </row>
    <row r="106" spans="1:12" ht="48" customHeight="1">
      <c r="A106" s="17" t="s">
        <v>303</v>
      </c>
      <c r="B106" s="48" t="s">
        <v>313</v>
      </c>
      <c r="C106" s="7" t="s">
        <v>173</v>
      </c>
      <c r="D106" s="1">
        <f>34.14-2</f>
        <v>32.14</v>
      </c>
      <c r="E106" s="1">
        <v>3.4</v>
      </c>
      <c r="F106" s="4">
        <v>16.21423</v>
      </c>
      <c r="G106" s="5">
        <f>F106-L104</f>
        <v>16.21423</v>
      </c>
      <c r="H106" s="4">
        <f t="shared" si="12"/>
        <v>-15.92577</v>
      </c>
      <c r="I106" s="1">
        <f t="shared" si="13"/>
        <v>50.44875544492844</v>
      </c>
      <c r="J106" s="2"/>
      <c r="L106" s="2"/>
    </row>
    <row r="107" spans="1:12" ht="79.5" customHeight="1">
      <c r="A107" s="17" t="s">
        <v>301</v>
      </c>
      <c r="B107" s="48" t="s">
        <v>314</v>
      </c>
      <c r="C107" s="3" t="s">
        <v>174</v>
      </c>
      <c r="D107" s="1">
        <f>100.23+2</f>
        <v>102.23</v>
      </c>
      <c r="E107" s="1">
        <v>32.8</v>
      </c>
      <c r="F107" s="1">
        <v>70.83862</v>
      </c>
      <c r="G107" s="5">
        <f>F107-L106</f>
        <v>70.83862</v>
      </c>
      <c r="H107" s="4">
        <f t="shared" si="12"/>
        <v>-31.391379999999998</v>
      </c>
      <c r="I107" s="1">
        <f t="shared" si="13"/>
        <v>69.29337767778539</v>
      </c>
      <c r="J107" s="2"/>
      <c r="L107" s="39"/>
    </row>
    <row r="108" spans="1:12" ht="31.5" hidden="1">
      <c r="A108" s="17" t="s">
        <v>308</v>
      </c>
      <c r="B108" s="48" t="s">
        <v>315</v>
      </c>
      <c r="C108" s="3" t="s">
        <v>469</v>
      </c>
      <c r="D108" s="1">
        <v>0</v>
      </c>
      <c r="E108" s="1">
        <v>233.4</v>
      </c>
      <c r="F108" s="5">
        <v>0</v>
      </c>
      <c r="G108" s="5">
        <f>F108-L107</f>
        <v>0</v>
      </c>
      <c r="H108" s="4">
        <f t="shared" si="12"/>
        <v>0</v>
      </c>
      <c r="I108" s="1" t="e">
        <f t="shared" si="13"/>
        <v>#DIV/0!</v>
      </c>
      <c r="J108" s="2"/>
      <c r="L108" s="39"/>
    </row>
    <row r="109" spans="1:12" ht="15.75">
      <c r="A109" s="17"/>
      <c r="B109" s="64" t="s">
        <v>316</v>
      </c>
      <c r="C109" s="74" t="s">
        <v>443</v>
      </c>
      <c r="D109" s="6">
        <f>D110+D111+D112</f>
        <v>2963</v>
      </c>
      <c r="E109" s="6">
        <f>E110+E111+E112</f>
        <v>409.4</v>
      </c>
      <c r="F109" s="6">
        <f>F110+F111+F112</f>
        <v>1878.01309</v>
      </c>
      <c r="G109" s="85">
        <f>G110+G111+G112</f>
        <v>1875.38203</v>
      </c>
      <c r="H109" s="5">
        <f t="shared" si="12"/>
        <v>-1084.98691</v>
      </c>
      <c r="I109" s="6">
        <f t="shared" si="13"/>
        <v>63.382149510631116</v>
      </c>
      <c r="J109" s="2"/>
      <c r="L109" s="37"/>
    </row>
    <row r="110" spans="1:12" ht="31.5">
      <c r="A110" s="17" t="s">
        <v>306</v>
      </c>
      <c r="B110" s="64" t="s">
        <v>316</v>
      </c>
      <c r="C110" s="74" t="s">
        <v>175</v>
      </c>
      <c r="D110" s="6">
        <v>2955.6</v>
      </c>
      <c r="E110" s="6">
        <v>409.4</v>
      </c>
      <c r="F110" s="5">
        <v>1875.38203</v>
      </c>
      <c r="G110" s="5">
        <f>F110-L109</f>
        <v>1875.38203</v>
      </c>
      <c r="H110" s="5">
        <f t="shared" si="12"/>
        <v>-1080.21797</v>
      </c>
      <c r="I110" s="6">
        <f t="shared" si="13"/>
        <v>63.451821288401675</v>
      </c>
      <c r="J110" s="2"/>
      <c r="L110" s="37"/>
    </row>
    <row r="111" spans="1:12" ht="47.25">
      <c r="A111" s="17"/>
      <c r="B111" s="64" t="s">
        <v>462</v>
      </c>
      <c r="C111" s="74" t="s">
        <v>176</v>
      </c>
      <c r="D111" s="6">
        <v>6.32</v>
      </c>
      <c r="E111" s="6"/>
      <c r="F111" s="5">
        <v>2.63106</v>
      </c>
      <c r="G111" s="5"/>
      <c r="H111" s="5">
        <f t="shared" si="12"/>
        <v>-3.68894</v>
      </c>
      <c r="I111" s="6">
        <f t="shared" si="13"/>
        <v>41.630696202531645</v>
      </c>
      <c r="J111" s="2"/>
      <c r="L111" s="37"/>
    </row>
    <row r="112" spans="1:12" ht="33" customHeight="1">
      <c r="A112" s="17"/>
      <c r="B112" s="64" t="s">
        <v>463</v>
      </c>
      <c r="C112" s="74" t="s">
        <v>177</v>
      </c>
      <c r="D112" s="6">
        <v>1.08</v>
      </c>
      <c r="E112" s="6"/>
      <c r="F112" s="5">
        <v>0</v>
      </c>
      <c r="G112" s="5"/>
      <c r="H112" s="5">
        <f t="shared" si="12"/>
        <v>-1.08</v>
      </c>
      <c r="I112" s="6">
        <f t="shared" si="13"/>
        <v>0</v>
      </c>
      <c r="J112" s="2" t="s">
        <v>373</v>
      </c>
      <c r="L112" s="2"/>
    </row>
    <row r="113" spans="1:12" ht="16.5" customHeight="1">
      <c r="A113" s="19" t="s">
        <v>413</v>
      </c>
      <c r="B113" s="72" t="s">
        <v>317</v>
      </c>
      <c r="C113" s="55" t="s">
        <v>107</v>
      </c>
      <c r="D113" s="6">
        <f>SUM(D114:D120)</f>
        <v>7068.24</v>
      </c>
      <c r="E113" s="6">
        <f>SUM(E114:E119)</f>
        <v>3220.6</v>
      </c>
      <c r="F113" s="6">
        <f>SUM(F114:F119)</f>
        <v>4097.30011</v>
      </c>
      <c r="G113" s="6">
        <f>SUM(G114:G119)</f>
        <v>4097.30011</v>
      </c>
      <c r="H113" s="5">
        <f t="shared" si="12"/>
        <v>-2970.9398899999997</v>
      </c>
      <c r="I113" s="6">
        <f t="shared" si="13"/>
        <v>57.96775590528902</v>
      </c>
      <c r="J113" s="2" t="s">
        <v>374</v>
      </c>
      <c r="L113" s="37"/>
    </row>
    <row r="114" spans="1:12" ht="47.25">
      <c r="A114" s="17" t="s">
        <v>318</v>
      </c>
      <c r="B114" s="64" t="s">
        <v>17</v>
      </c>
      <c r="C114" s="55" t="s">
        <v>178</v>
      </c>
      <c r="D114" s="6">
        <v>266.14</v>
      </c>
      <c r="E114" s="6">
        <v>768.1</v>
      </c>
      <c r="F114" s="5">
        <v>41.41253</v>
      </c>
      <c r="G114" s="5">
        <f>F114-L113</f>
        <v>41.41253</v>
      </c>
      <c r="H114" s="5">
        <f t="shared" si="12"/>
        <v>-224.72746999999998</v>
      </c>
      <c r="I114" s="6">
        <f t="shared" si="13"/>
        <v>15.56043060043586</v>
      </c>
      <c r="J114" s="2"/>
      <c r="L114" s="37"/>
    </row>
    <row r="115" spans="1:12" ht="48" customHeight="1">
      <c r="A115" s="17" t="s">
        <v>318</v>
      </c>
      <c r="B115" s="64" t="s">
        <v>370</v>
      </c>
      <c r="C115" s="86" t="s">
        <v>219</v>
      </c>
      <c r="D115" s="6">
        <f>1054-400-54</f>
        <v>600</v>
      </c>
      <c r="E115" s="6">
        <v>852.5</v>
      </c>
      <c r="F115" s="5">
        <v>350</v>
      </c>
      <c r="G115" s="5">
        <f>F115-L114</f>
        <v>350</v>
      </c>
      <c r="H115" s="5">
        <f t="shared" si="12"/>
        <v>-250</v>
      </c>
      <c r="I115" s="6">
        <f t="shared" si="13"/>
        <v>58.333333333333336</v>
      </c>
      <c r="J115" s="2"/>
      <c r="L115" s="37"/>
    </row>
    <row r="116" spans="1:12" ht="34.5" customHeight="1">
      <c r="A116" s="17" t="s">
        <v>318</v>
      </c>
      <c r="B116" s="64" t="s">
        <v>40</v>
      </c>
      <c r="C116" s="86" t="s">
        <v>220</v>
      </c>
      <c r="D116" s="6">
        <v>200</v>
      </c>
      <c r="E116" s="6"/>
      <c r="F116" s="5">
        <v>0</v>
      </c>
      <c r="G116" s="5"/>
      <c r="H116" s="5">
        <f t="shared" si="12"/>
        <v>-200</v>
      </c>
      <c r="I116" s="6">
        <f t="shared" si="13"/>
        <v>0</v>
      </c>
      <c r="J116" s="2"/>
      <c r="L116" s="37"/>
    </row>
    <row r="117" spans="1:12" ht="47.25" customHeight="1">
      <c r="A117" s="17" t="s">
        <v>320</v>
      </c>
      <c r="B117" s="64" t="s">
        <v>15</v>
      </c>
      <c r="C117" s="86" t="s">
        <v>221</v>
      </c>
      <c r="D117" s="6">
        <v>98</v>
      </c>
      <c r="E117" s="6">
        <v>0</v>
      </c>
      <c r="F117" s="5">
        <v>98</v>
      </c>
      <c r="G117" s="5">
        <f>F117-L115</f>
        <v>98</v>
      </c>
      <c r="H117" s="5">
        <f t="shared" si="12"/>
        <v>0</v>
      </c>
      <c r="I117" s="6">
        <f t="shared" si="13"/>
        <v>100</v>
      </c>
      <c r="J117" s="2"/>
      <c r="L117" s="37"/>
    </row>
    <row r="118" spans="1:12" ht="18" customHeight="1" hidden="1">
      <c r="A118" s="17"/>
      <c r="B118" s="64" t="s">
        <v>321</v>
      </c>
      <c r="C118" s="63" t="s">
        <v>222</v>
      </c>
      <c r="D118" s="6">
        <v>0</v>
      </c>
      <c r="E118" s="6"/>
      <c r="F118" s="5"/>
      <c r="G118" s="5"/>
      <c r="H118" s="5">
        <f t="shared" si="12"/>
        <v>0</v>
      </c>
      <c r="I118" s="6" t="e">
        <f t="shared" si="13"/>
        <v>#DIV/0!</v>
      </c>
      <c r="J118" s="2"/>
      <c r="L118" s="37"/>
    </row>
    <row r="119" spans="1:12" ht="15.75">
      <c r="A119" s="17" t="s">
        <v>320</v>
      </c>
      <c r="B119" s="64" t="s">
        <v>321</v>
      </c>
      <c r="C119" s="63" t="s">
        <v>384</v>
      </c>
      <c r="D119" s="6">
        <v>5879.1</v>
      </c>
      <c r="E119" s="6">
        <v>1600</v>
      </c>
      <c r="F119" s="5">
        <v>3607.88758</v>
      </c>
      <c r="G119" s="5">
        <f>F119-L117</f>
        <v>3607.88758</v>
      </c>
      <c r="H119" s="5">
        <f t="shared" si="12"/>
        <v>-2271.2124200000003</v>
      </c>
      <c r="I119" s="6">
        <f t="shared" si="13"/>
        <v>61.368025378034055</v>
      </c>
      <c r="J119" s="2"/>
      <c r="L119" s="2"/>
    </row>
    <row r="120" spans="1:12" ht="31.5">
      <c r="A120" s="17"/>
      <c r="B120" s="64" t="s">
        <v>321</v>
      </c>
      <c r="C120" s="63" t="s">
        <v>453</v>
      </c>
      <c r="D120" s="6">
        <v>25</v>
      </c>
      <c r="E120" s="6"/>
      <c r="F120" s="5">
        <v>0</v>
      </c>
      <c r="G120" s="5"/>
      <c r="H120" s="5">
        <f t="shared" si="12"/>
        <v>-25</v>
      </c>
      <c r="I120" s="6">
        <f t="shared" si="13"/>
        <v>0</v>
      </c>
      <c r="J120" s="2"/>
      <c r="L120" s="2"/>
    </row>
    <row r="121" spans="1:12" ht="15.75">
      <c r="A121" s="19" t="s">
        <v>322</v>
      </c>
      <c r="B121" s="72" t="s">
        <v>335</v>
      </c>
      <c r="C121" s="55" t="s">
        <v>109</v>
      </c>
      <c r="D121" s="6">
        <f>SUM(D122:D127)</f>
        <v>3556.8376400000006</v>
      </c>
      <c r="E121" s="6">
        <f>SUM(E122:E127)</f>
        <v>970.5999999999999</v>
      </c>
      <c r="F121" s="6">
        <f>SUM(F122:F127)</f>
        <v>2219.16644</v>
      </c>
      <c r="G121" s="6" t="e">
        <f>SUM(G122:G127)</f>
        <v>#REF!</v>
      </c>
      <c r="H121" s="5">
        <f t="shared" si="12"/>
        <v>-1337.6712000000007</v>
      </c>
      <c r="I121" s="6">
        <f t="shared" si="13"/>
        <v>62.3915585868575</v>
      </c>
      <c r="J121" s="2"/>
      <c r="L121" s="37"/>
    </row>
    <row r="122" spans="1:12" ht="15.75">
      <c r="A122" s="17" t="s">
        <v>322</v>
      </c>
      <c r="B122" s="64" t="s">
        <v>444</v>
      </c>
      <c r="C122" s="74" t="s">
        <v>447</v>
      </c>
      <c r="D122" s="6">
        <f>432.13914+3.5</f>
        <v>435.63914</v>
      </c>
      <c r="E122" s="6">
        <v>123.4</v>
      </c>
      <c r="F122" s="5">
        <v>268.91901</v>
      </c>
      <c r="G122" s="5">
        <f>F122-L121</f>
        <v>268.91901</v>
      </c>
      <c r="H122" s="5">
        <f t="shared" si="12"/>
        <v>-166.72012999999998</v>
      </c>
      <c r="I122" s="6">
        <f t="shared" si="13"/>
        <v>61.729763308228</v>
      </c>
      <c r="J122" s="2"/>
      <c r="L122" s="37"/>
    </row>
    <row r="123" spans="1:12" ht="15.75">
      <c r="A123" s="17" t="s">
        <v>322</v>
      </c>
      <c r="B123" s="64" t="s">
        <v>445</v>
      </c>
      <c r="C123" s="74" t="s">
        <v>449</v>
      </c>
      <c r="D123" s="6">
        <v>279.96924</v>
      </c>
      <c r="E123" s="6">
        <v>86.6</v>
      </c>
      <c r="F123" s="5">
        <v>192.73771</v>
      </c>
      <c r="G123" s="5">
        <f>F123-L122</f>
        <v>192.73771</v>
      </c>
      <c r="H123" s="5">
        <f t="shared" si="12"/>
        <v>-87.23153000000002</v>
      </c>
      <c r="I123" s="6">
        <f t="shared" si="13"/>
        <v>68.84245926445347</v>
      </c>
      <c r="J123" s="2"/>
      <c r="L123" s="37"/>
    </row>
    <row r="124" spans="1:12" ht="18" customHeight="1">
      <c r="A124" s="17" t="s">
        <v>322</v>
      </c>
      <c r="B124" s="64" t="s">
        <v>446</v>
      </c>
      <c r="C124" s="74" t="s">
        <v>448</v>
      </c>
      <c r="D124" s="6">
        <v>2273.85368</v>
      </c>
      <c r="E124" s="6">
        <v>581.9</v>
      </c>
      <c r="F124" s="5">
        <v>1397.85282</v>
      </c>
      <c r="G124" s="5" t="e">
        <f>F124-#REF!</f>
        <v>#REF!</v>
      </c>
      <c r="H124" s="5">
        <f t="shared" si="12"/>
        <v>-876.0008600000001</v>
      </c>
      <c r="I124" s="6">
        <f t="shared" si="13"/>
        <v>61.475055861993724</v>
      </c>
      <c r="J124" s="2"/>
      <c r="L124" s="37"/>
    </row>
    <row r="125" spans="1:12" ht="63" hidden="1">
      <c r="A125" s="17" t="s">
        <v>361</v>
      </c>
      <c r="B125" s="64" t="s">
        <v>432</v>
      </c>
      <c r="C125" s="74" t="s">
        <v>431</v>
      </c>
      <c r="D125" s="6">
        <v>0</v>
      </c>
      <c r="E125" s="6">
        <v>18.4</v>
      </c>
      <c r="F125" s="5"/>
      <c r="G125" s="5">
        <f>F125-L124</f>
        <v>0</v>
      </c>
      <c r="H125" s="5">
        <f t="shared" si="12"/>
        <v>0</v>
      </c>
      <c r="I125" s="6" t="e">
        <f t="shared" si="13"/>
        <v>#DIV/0!</v>
      </c>
      <c r="J125" s="2"/>
      <c r="L125" s="37"/>
    </row>
    <row r="126" spans="1:12" ht="15.75">
      <c r="A126" s="17" t="s">
        <v>322</v>
      </c>
      <c r="B126" s="64" t="s">
        <v>424</v>
      </c>
      <c r="C126" s="74" t="s">
        <v>397</v>
      </c>
      <c r="D126" s="6">
        <v>234.49958</v>
      </c>
      <c r="E126" s="6">
        <v>60.3</v>
      </c>
      <c r="F126" s="5">
        <v>164.15516</v>
      </c>
      <c r="G126" s="5">
        <f>F126-L125</f>
        <v>164.15516</v>
      </c>
      <c r="H126" s="5">
        <f t="shared" si="12"/>
        <v>-70.34442000000001</v>
      </c>
      <c r="I126" s="6">
        <f t="shared" si="13"/>
        <v>70.00232580373917</v>
      </c>
      <c r="J126" s="2"/>
      <c r="L126" s="37"/>
    </row>
    <row r="127" spans="1:12" ht="50.25" customHeight="1">
      <c r="A127" s="17" t="s">
        <v>425</v>
      </c>
      <c r="B127" s="64" t="s">
        <v>424</v>
      </c>
      <c r="C127" s="74" t="s">
        <v>35</v>
      </c>
      <c r="D127" s="6">
        <v>332.876</v>
      </c>
      <c r="E127" s="6">
        <v>100</v>
      </c>
      <c r="F127" s="5">
        <v>195.50174</v>
      </c>
      <c r="G127" s="5">
        <f>F127-L126</f>
        <v>195.50174</v>
      </c>
      <c r="H127" s="5">
        <f t="shared" si="12"/>
        <v>-137.37425999999996</v>
      </c>
      <c r="I127" s="6">
        <f t="shared" si="13"/>
        <v>58.73110107066897</v>
      </c>
      <c r="J127" s="2"/>
      <c r="L127" s="2"/>
    </row>
    <row r="128" spans="1:12" ht="19.5" customHeight="1">
      <c r="A128" s="17" t="s">
        <v>414</v>
      </c>
      <c r="B128" s="64" t="s">
        <v>371</v>
      </c>
      <c r="C128" s="74" t="s">
        <v>110</v>
      </c>
      <c r="D128" s="6">
        <f>SUM(D129:D132)</f>
        <v>390</v>
      </c>
      <c r="E128" s="6">
        <f>SUM(E129:E132)</f>
        <v>141.2</v>
      </c>
      <c r="F128" s="6">
        <f>SUM(F129:F132)</f>
        <v>231.55832</v>
      </c>
      <c r="G128" s="6">
        <f>SUM(G129:G131)</f>
        <v>10</v>
      </c>
      <c r="H128" s="5">
        <f t="shared" si="12"/>
        <v>-158.44168</v>
      </c>
      <c r="I128" s="6">
        <f t="shared" si="13"/>
        <v>59.37392820512821</v>
      </c>
      <c r="J128" s="2"/>
      <c r="L128" s="38"/>
    </row>
    <row r="129" spans="1:12" ht="15" customHeight="1" hidden="1">
      <c r="A129" s="23" t="s">
        <v>342</v>
      </c>
      <c r="B129" s="50" t="s">
        <v>341</v>
      </c>
      <c r="C129" s="7" t="s">
        <v>470</v>
      </c>
      <c r="D129" s="1">
        <v>0</v>
      </c>
      <c r="E129" s="1">
        <v>21</v>
      </c>
      <c r="F129" s="8">
        <v>0</v>
      </c>
      <c r="G129" s="5">
        <f>F129-L128</f>
        <v>0</v>
      </c>
      <c r="H129" s="4">
        <f t="shared" si="12"/>
        <v>0</v>
      </c>
      <c r="I129" s="1" t="e">
        <f t="shared" si="13"/>
        <v>#DIV/0!</v>
      </c>
      <c r="J129" s="2"/>
      <c r="L129" s="38"/>
    </row>
    <row r="130" spans="1:12" ht="23.25" customHeight="1" hidden="1">
      <c r="A130" s="23" t="s">
        <v>382</v>
      </c>
      <c r="B130" s="50" t="s">
        <v>383</v>
      </c>
      <c r="C130" s="7" t="s">
        <v>471</v>
      </c>
      <c r="D130" s="1">
        <v>0</v>
      </c>
      <c r="E130" s="1">
        <v>120.2</v>
      </c>
      <c r="F130" s="8">
        <v>0</v>
      </c>
      <c r="G130" s="5">
        <f>F130-L129</f>
        <v>0</v>
      </c>
      <c r="H130" s="4">
        <f t="shared" si="12"/>
        <v>0</v>
      </c>
      <c r="I130" s="1" t="e">
        <f t="shared" si="13"/>
        <v>#DIV/0!</v>
      </c>
      <c r="J130" s="2"/>
      <c r="L130" s="37"/>
    </row>
    <row r="131" spans="1:12" ht="31.5" customHeight="1">
      <c r="A131" s="23" t="s">
        <v>382</v>
      </c>
      <c r="B131" s="50" t="s">
        <v>383</v>
      </c>
      <c r="C131" s="7" t="s">
        <v>179</v>
      </c>
      <c r="D131" s="1">
        <v>10</v>
      </c>
      <c r="E131" s="1"/>
      <c r="F131" s="4">
        <v>10</v>
      </c>
      <c r="G131" s="5">
        <f>F131-L130</f>
        <v>10</v>
      </c>
      <c r="H131" s="4">
        <f t="shared" si="12"/>
        <v>0</v>
      </c>
      <c r="I131" s="1">
        <f t="shared" si="13"/>
        <v>100</v>
      </c>
      <c r="J131" s="2"/>
      <c r="L131" s="2"/>
    </row>
    <row r="132" spans="1:12" ht="47.25">
      <c r="A132" s="23"/>
      <c r="B132" s="50" t="s">
        <v>42</v>
      </c>
      <c r="C132" s="63" t="s">
        <v>223</v>
      </c>
      <c r="D132" s="1">
        <v>380</v>
      </c>
      <c r="E132" s="1"/>
      <c r="F132" s="4">
        <v>221.55832</v>
      </c>
      <c r="G132" s="5"/>
      <c r="H132" s="4">
        <f t="shared" si="12"/>
        <v>-158.44168</v>
      </c>
      <c r="I132" s="1">
        <f t="shared" si="13"/>
        <v>58.30482105263158</v>
      </c>
      <c r="J132" s="2"/>
      <c r="L132" s="2"/>
    </row>
    <row r="133" spans="1:12" ht="15.75">
      <c r="A133" s="19" t="s">
        <v>323</v>
      </c>
      <c r="B133" s="72" t="s">
        <v>324</v>
      </c>
      <c r="C133" s="55" t="s">
        <v>111</v>
      </c>
      <c r="D133" s="6">
        <f>D135+D136+D134+D137</f>
        <v>1381.2573699999998</v>
      </c>
      <c r="E133" s="6">
        <f>E135+E136+E134+E137</f>
        <v>336.9</v>
      </c>
      <c r="F133" s="6">
        <f>F135+F136+F134+F137</f>
        <v>807.67673</v>
      </c>
      <c r="G133" s="6">
        <f>G135+G136</f>
        <v>748.93777</v>
      </c>
      <c r="H133" s="5">
        <f t="shared" si="12"/>
        <v>-573.5806399999998</v>
      </c>
      <c r="I133" s="6">
        <f t="shared" si="13"/>
        <v>58.47402139110397</v>
      </c>
      <c r="J133" s="2"/>
      <c r="L133" s="37"/>
    </row>
    <row r="134" spans="1:12" ht="48" customHeight="1">
      <c r="A134" s="19" t="s">
        <v>323</v>
      </c>
      <c r="B134" s="49" t="s">
        <v>21</v>
      </c>
      <c r="C134" s="55" t="s">
        <v>193</v>
      </c>
      <c r="D134" s="1">
        <v>45</v>
      </c>
      <c r="E134" s="1"/>
      <c r="F134" s="1">
        <v>24.22213</v>
      </c>
      <c r="G134" s="1"/>
      <c r="H134" s="4">
        <f t="shared" si="12"/>
        <v>-20.77787</v>
      </c>
      <c r="I134" s="1">
        <f t="shared" si="13"/>
        <v>53.82695555555556</v>
      </c>
      <c r="J134" s="2"/>
      <c r="L134" s="37"/>
    </row>
    <row r="135" spans="1:12" ht="62.25" customHeight="1">
      <c r="A135" s="19" t="s">
        <v>323</v>
      </c>
      <c r="B135" s="49" t="s">
        <v>415</v>
      </c>
      <c r="C135" s="7" t="s">
        <v>224</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323</v>
      </c>
      <c r="B136" s="49" t="s">
        <v>325</v>
      </c>
      <c r="C136" s="7" t="s">
        <v>427</v>
      </c>
      <c r="D136" s="1">
        <v>1205.39737</v>
      </c>
      <c r="E136" s="1">
        <v>321.9</v>
      </c>
      <c r="F136" s="4">
        <v>700.54571</v>
      </c>
      <c r="G136" s="5">
        <f>F136-L135</f>
        <v>700.54571</v>
      </c>
      <c r="H136" s="4">
        <f t="shared" si="14"/>
        <v>-504.8516599999999</v>
      </c>
      <c r="I136" s="1">
        <f t="shared" si="15"/>
        <v>58.11740820373616</v>
      </c>
      <c r="J136" s="2"/>
      <c r="L136" s="37"/>
    </row>
    <row r="137" spans="1:12" ht="46.5" customHeight="1">
      <c r="A137" s="19" t="s">
        <v>323</v>
      </c>
      <c r="B137" s="49" t="s">
        <v>22</v>
      </c>
      <c r="C137" s="55" t="s">
        <v>194</v>
      </c>
      <c r="D137" s="1">
        <v>60.86</v>
      </c>
      <c r="E137" s="1"/>
      <c r="F137" s="4">
        <v>34.51683</v>
      </c>
      <c r="G137" s="5"/>
      <c r="H137" s="4">
        <f t="shared" si="14"/>
        <v>-26.34317</v>
      </c>
      <c r="I137" s="1">
        <f t="shared" si="15"/>
        <v>56.71513309234308</v>
      </c>
      <c r="J137" s="2"/>
      <c r="L137" s="37"/>
    </row>
    <row r="138" spans="1:12" ht="27.75" customHeight="1" hidden="1">
      <c r="A138" s="17" t="s">
        <v>343</v>
      </c>
      <c r="B138" s="48" t="s">
        <v>340</v>
      </c>
      <c r="C138" s="24" t="s">
        <v>7</v>
      </c>
      <c r="D138" s="1"/>
      <c r="E138" s="1"/>
      <c r="F138" s="4"/>
      <c r="G138" s="5">
        <f>F138-L136</f>
        <v>0</v>
      </c>
      <c r="H138" s="4">
        <f t="shared" si="14"/>
        <v>0</v>
      </c>
      <c r="I138" s="1" t="e">
        <f t="shared" si="15"/>
        <v>#DIV/0!</v>
      </c>
      <c r="J138" s="2"/>
      <c r="L138" s="37"/>
    </row>
    <row r="139" spans="1:12" ht="31.5" customHeight="1">
      <c r="A139" s="17" t="s">
        <v>416</v>
      </c>
      <c r="B139" s="64" t="s">
        <v>464</v>
      </c>
      <c r="C139" s="87" t="s">
        <v>199</v>
      </c>
      <c r="D139" s="88">
        <f>D140</f>
        <v>70</v>
      </c>
      <c r="E139" s="88">
        <f>E140</f>
        <v>50</v>
      </c>
      <c r="F139" s="88">
        <f>F140</f>
        <v>0</v>
      </c>
      <c r="G139" s="89">
        <f>G140</f>
        <v>0</v>
      </c>
      <c r="H139" s="5">
        <f t="shared" si="14"/>
        <v>-70</v>
      </c>
      <c r="I139" s="6">
        <f t="shared" si="15"/>
        <v>0</v>
      </c>
      <c r="J139" s="2"/>
      <c r="L139" s="37"/>
    </row>
    <row r="140" spans="1:12" ht="29.25" customHeight="1">
      <c r="A140" s="19" t="s">
        <v>416</v>
      </c>
      <c r="B140" s="49" t="s">
        <v>417</v>
      </c>
      <c r="C140" s="7" t="s">
        <v>202</v>
      </c>
      <c r="D140" s="9">
        <v>70</v>
      </c>
      <c r="E140" s="9">
        <v>50</v>
      </c>
      <c r="F140" s="4">
        <v>0</v>
      </c>
      <c r="G140" s="5">
        <f>F140-L139</f>
        <v>0</v>
      </c>
      <c r="H140" s="4">
        <f t="shared" si="14"/>
        <v>-70</v>
      </c>
      <c r="I140" s="1">
        <f t="shared" si="15"/>
        <v>0</v>
      </c>
      <c r="J140" s="2"/>
      <c r="L140" s="2"/>
    </row>
    <row r="141" spans="1:12" ht="30" customHeight="1" hidden="1">
      <c r="A141" s="19" t="s">
        <v>416</v>
      </c>
      <c r="B141" s="49" t="s">
        <v>478</v>
      </c>
      <c r="C141" s="7" t="s">
        <v>480</v>
      </c>
      <c r="D141" s="9"/>
      <c r="E141" s="9"/>
      <c r="F141" s="4"/>
      <c r="G141" s="5"/>
      <c r="H141" s="4">
        <f t="shared" si="14"/>
        <v>0</v>
      </c>
      <c r="I141" s="1" t="e">
        <f t="shared" si="15"/>
        <v>#DIV/0!</v>
      </c>
      <c r="J141" s="2"/>
      <c r="L141" s="2"/>
    </row>
    <row r="142" spans="1:12" ht="31.5">
      <c r="A142" s="17"/>
      <c r="B142" s="64" t="s">
        <v>367</v>
      </c>
      <c r="C142" s="74" t="s">
        <v>198</v>
      </c>
      <c r="D142" s="6">
        <f>SUM(D143:D147)</f>
        <v>776.12</v>
      </c>
      <c r="E142" s="6">
        <f>SUM(E143:E147)</f>
        <v>447.1</v>
      </c>
      <c r="F142" s="6">
        <f>SUM(F143:F147)</f>
        <v>577.36731</v>
      </c>
      <c r="G142" s="6">
        <f>SUM(G143:G145)</f>
        <v>336.95931</v>
      </c>
      <c r="H142" s="5">
        <f t="shared" si="14"/>
        <v>-198.75269000000003</v>
      </c>
      <c r="I142" s="6">
        <f t="shared" si="15"/>
        <v>74.3915000257692</v>
      </c>
      <c r="J142" s="2"/>
      <c r="L142" s="37"/>
    </row>
    <row r="143" spans="1:12" ht="50.25" customHeight="1" hidden="1">
      <c r="A143" s="17" t="s">
        <v>326</v>
      </c>
      <c r="B143" s="64" t="s">
        <v>327</v>
      </c>
      <c r="C143" s="55" t="s">
        <v>9</v>
      </c>
      <c r="D143" s="6">
        <v>0</v>
      </c>
      <c r="E143" s="6">
        <v>140</v>
      </c>
      <c r="F143" s="5"/>
      <c r="G143" s="5">
        <f>F143-L142</f>
        <v>0</v>
      </c>
      <c r="H143" s="5">
        <f t="shared" si="14"/>
        <v>0</v>
      </c>
      <c r="I143" s="6" t="e">
        <f t="shared" si="15"/>
        <v>#DIV/0!</v>
      </c>
      <c r="J143" s="2"/>
      <c r="L143" s="37"/>
    </row>
    <row r="144" spans="1:12" ht="48" customHeight="1">
      <c r="A144" s="17" t="s">
        <v>326</v>
      </c>
      <c r="B144" s="64" t="s">
        <v>327</v>
      </c>
      <c r="C144" s="55" t="s">
        <v>195</v>
      </c>
      <c r="D144" s="6">
        <v>408.6</v>
      </c>
      <c r="E144" s="6">
        <v>292.6</v>
      </c>
      <c r="F144" s="5">
        <v>324.20031</v>
      </c>
      <c r="G144" s="5">
        <f>F144-L143</f>
        <v>324.20031</v>
      </c>
      <c r="H144" s="5">
        <f t="shared" si="14"/>
        <v>-84.39969000000002</v>
      </c>
      <c r="I144" s="6">
        <f t="shared" si="15"/>
        <v>79.34417767988252</v>
      </c>
      <c r="J144" s="2"/>
      <c r="L144" s="37"/>
    </row>
    <row r="145" spans="1:12" ht="48.75" customHeight="1">
      <c r="A145" s="17" t="s">
        <v>326</v>
      </c>
      <c r="B145" s="64" t="s">
        <v>389</v>
      </c>
      <c r="C145" s="63" t="s">
        <v>196</v>
      </c>
      <c r="D145" s="6">
        <v>18</v>
      </c>
      <c r="E145" s="6">
        <v>12.5</v>
      </c>
      <c r="F145" s="5">
        <v>12.759</v>
      </c>
      <c r="G145" s="5">
        <f>F145-L144</f>
        <v>12.759</v>
      </c>
      <c r="H145" s="5">
        <f t="shared" si="14"/>
        <v>-5.241</v>
      </c>
      <c r="I145" s="6">
        <f t="shared" si="15"/>
        <v>70.88333333333333</v>
      </c>
      <c r="J145" s="2"/>
      <c r="L145" s="37"/>
    </row>
    <row r="146" spans="1:12" ht="31.5" hidden="1">
      <c r="A146" s="17" t="s">
        <v>328</v>
      </c>
      <c r="B146" s="64" t="s">
        <v>435</v>
      </c>
      <c r="C146" s="63" t="s">
        <v>10</v>
      </c>
      <c r="D146" s="6">
        <v>0</v>
      </c>
      <c r="E146" s="6">
        <v>2</v>
      </c>
      <c r="F146" s="5">
        <v>0</v>
      </c>
      <c r="G146" s="5">
        <f>F146-L145</f>
        <v>0</v>
      </c>
      <c r="H146" s="5">
        <f t="shared" si="14"/>
        <v>0</v>
      </c>
      <c r="I146" s="6" t="e">
        <f t="shared" si="15"/>
        <v>#DIV/0!</v>
      </c>
      <c r="J146" s="2"/>
      <c r="L146" s="37"/>
    </row>
    <row r="147" spans="1:12" ht="49.5" customHeight="1">
      <c r="A147" s="17" t="s">
        <v>326</v>
      </c>
      <c r="B147" s="64" t="s">
        <v>327</v>
      </c>
      <c r="C147" s="63" t="s">
        <v>225</v>
      </c>
      <c r="D147" s="6">
        <v>349.52</v>
      </c>
      <c r="E147" s="6"/>
      <c r="F147" s="5">
        <v>240.408</v>
      </c>
      <c r="G147" s="5"/>
      <c r="H147" s="5">
        <f t="shared" si="14"/>
        <v>-109.112</v>
      </c>
      <c r="I147" s="6">
        <f t="shared" si="15"/>
        <v>68.78233005264363</v>
      </c>
      <c r="J147" s="2"/>
      <c r="L147" s="37"/>
    </row>
    <row r="148" spans="1:12" ht="31.5">
      <c r="A148" s="17"/>
      <c r="B148" s="64" t="s">
        <v>48</v>
      </c>
      <c r="C148" s="63" t="s">
        <v>197</v>
      </c>
      <c r="D148" s="6">
        <f>D149+D150+D151+D154+D152+D153</f>
        <v>323.14347</v>
      </c>
      <c r="E148" s="6">
        <f>E149+E150+E151+E154+E152+E153</f>
        <v>10</v>
      </c>
      <c r="F148" s="6">
        <f>F149+F150+F151+F154+F152+F153</f>
        <v>260.40075</v>
      </c>
      <c r="G148" s="5"/>
      <c r="H148" s="5">
        <f t="shared" si="14"/>
        <v>-62.74271999999996</v>
      </c>
      <c r="I148" s="6">
        <f t="shared" si="15"/>
        <v>80.58363364111923</v>
      </c>
      <c r="J148" s="2"/>
      <c r="L148" s="37"/>
    </row>
    <row r="149" spans="1:12" ht="65.25" customHeight="1">
      <c r="A149" s="17"/>
      <c r="B149" s="64" t="s">
        <v>435</v>
      </c>
      <c r="C149" s="63" t="s">
        <v>129</v>
      </c>
      <c r="D149" s="6">
        <f>20.385-5</f>
        <v>15.385000000000002</v>
      </c>
      <c r="E149" s="6"/>
      <c r="F149" s="5">
        <v>0.505</v>
      </c>
      <c r="G149" s="5"/>
      <c r="H149" s="5">
        <f t="shared" si="14"/>
        <v>-14.88</v>
      </c>
      <c r="I149" s="6">
        <f t="shared" si="15"/>
        <v>3.282417939551511</v>
      </c>
      <c r="J149" s="2"/>
      <c r="L149" s="37"/>
    </row>
    <row r="150" spans="1:12" ht="63">
      <c r="A150" s="17" t="s">
        <v>328</v>
      </c>
      <c r="B150" s="64" t="s">
        <v>435</v>
      </c>
      <c r="C150" s="63" t="s">
        <v>201</v>
      </c>
      <c r="D150" s="6">
        <f>20.75847-5</f>
        <v>15.758469999999999</v>
      </c>
      <c r="E150" s="6">
        <v>10</v>
      </c>
      <c r="F150" s="5">
        <v>3.12127</v>
      </c>
      <c r="G150" s="5">
        <f>F150-L146</f>
        <v>3.12127</v>
      </c>
      <c r="H150" s="5">
        <f t="shared" si="14"/>
        <v>-12.6372</v>
      </c>
      <c r="I150" s="6">
        <f t="shared" si="15"/>
        <v>19.806935571790916</v>
      </c>
      <c r="J150" s="2"/>
      <c r="L150" s="37"/>
    </row>
    <row r="151" spans="1:12" ht="47.25">
      <c r="A151" s="25" t="s">
        <v>328</v>
      </c>
      <c r="B151" s="64" t="s">
        <v>435</v>
      </c>
      <c r="C151" s="63" t="s">
        <v>226</v>
      </c>
      <c r="D151" s="6">
        <v>30</v>
      </c>
      <c r="E151" s="6"/>
      <c r="F151" s="5">
        <v>0</v>
      </c>
      <c r="G151" s="5"/>
      <c r="H151" s="5">
        <f t="shared" si="14"/>
        <v>-30</v>
      </c>
      <c r="I151" s="6">
        <f t="shared" si="15"/>
        <v>0</v>
      </c>
      <c r="J151" s="2"/>
      <c r="L151" s="37"/>
    </row>
    <row r="152" spans="1:12" ht="63.75" customHeight="1">
      <c r="A152" s="25"/>
      <c r="B152" s="64" t="s">
        <v>435</v>
      </c>
      <c r="C152" s="63" t="s">
        <v>201</v>
      </c>
      <c r="D152" s="6">
        <v>238</v>
      </c>
      <c r="E152" s="6"/>
      <c r="F152" s="5">
        <v>237.97448</v>
      </c>
      <c r="G152" s="5"/>
      <c r="H152" s="5">
        <f t="shared" si="14"/>
        <v>-0.02552000000000021</v>
      </c>
      <c r="I152" s="6">
        <f t="shared" si="15"/>
        <v>99.98927731092438</v>
      </c>
      <c r="J152" s="2"/>
      <c r="L152" s="37"/>
    </row>
    <row r="153" spans="1:12" ht="31.5">
      <c r="A153" s="25"/>
      <c r="B153" s="64" t="s">
        <v>435</v>
      </c>
      <c r="C153" s="63" t="s">
        <v>130</v>
      </c>
      <c r="D153" s="6">
        <v>19</v>
      </c>
      <c r="E153" s="6"/>
      <c r="F153" s="5">
        <v>18.8</v>
      </c>
      <c r="G153" s="5"/>
      <c r="H153" s="5">
        <f t="shared" si="14"/>
        <v>-0.1999999999999993</v>
      </c>
      <c r="I153" s="6">
        <f t="shared" si="15"/>
        <v>98.94736842105264</v>
      </c>
      <c r="J153" s="2"/>
      <c r="L153" s="37"/>
    </row>
    <row r="154" spans="1:12" ht="30.75" customHeight="1">
      <c r="A154" s="25" t="s">
        <v>328</v>
      </c>
      <c r="B154" s="64" t="s">
        <v>203</v>
      </c>
      <c r="C154" s="63" t="s">
        <v>204</v>
      </c>
      <c r="D154" s="6">
        <v>5</v>
      </c>
      <c r="E154" s="6"/>
      <c r="F154" s="5">
        <v>0</v>
      </c>
      <c r="G154" s="5"/>
      <c r="H154" s="5">
        <f t="shared" si="14"/>
        <v>-5</v>
      </c>
      <c r="I154" s="6">
        <f t="shared" si="15"/>
        <v>0</v>
      </c>
      <c r="J154" s="2"/>
      <c r="L154" s="37"/>
    </row>
    <row r="155" spans="1:12" ht="32.25" customHeight="1">
      <c r="A155" s="17" t="s">
        <v>418</v>
      </c>
      <c r="B155" s="64" t="s">
        <v>465</v>
      </c>
      <c r="C155" s="55" t="s">
        <v>207</v>
      </c>
      <c r="D155" s="6">
        <f>D156+D157</f>
        <v>288.4</v>
      </c>
      <c r="E155" s="6">
        <f>E156+E157</f>
        <v>119.7</v>
      </c>
      <c r="F155" s="6">
        <f>F156+F157</f>
        <v>174.92456</v>
      </c>
      <c r="G155" s="5"/>
      <c r="H155" s="5">
        <f t="shared" si="14"/>
        <v>-113.47543999999996</v>
      </c>
      <c r="I155" s="6">
        <f t="shared" si="15"/>
        <v>60.65345353675452</v>
      </c>
      <c r="J155" s="2"/>
      <c r="L155" s="37"/>
    </row>
    <row r="156" spans="1:12" ht="60" customHeight="1">
      <c r="A156" s="17" t="s">
        <v>418</v>
      </c>
      <c r="B156" s="64" t="s">
        <v>347</v>
      </c>
      <c r="C156" s="55" t="s">
        <v>208</v>
      </c>
      <c r="D156" s="6">
        <f>42.5-3-5</f>
        <v>34.5</v>
      </c>
      <c r="E156" s="6">
        <v>20</v>
      </c>
      <c r="F156" s="5">
        <v>10.33221</v>
      </c>
      <c r="G156" s="5">
        <f>F156-L155</f>
        <v>10.33221</v>
      </c>
      <c r="H156" s="5">
        <f t="shared" si="14"/>
        <v>-24.16779</v>
      </c>
      <c r="I156" s="6">
        <f t="shared" si="15"/>
        <v>29.948434782608697</v>
      </c>
      <c r="J156" s="2"/>
      <c r="L156" s="37"/>
    </row>
    <row r="157" spans="1:12" ht="31.5">
      <c r="A157" s="17" t="s">
        <v>418</v>
      </c>
      <c r="B157" s="64" t="s">
        <v>339</v>
      </c>
      <c r="C157" s="55" t="s">
        <v>472</v>
      </c>
      <c r="D157" s="6">
        <v>253.9</v>
      </c>
      <c r="E157" s="6">
        <v>99.7</v>
      </c>
      <c r="F157" s="5">
        <v>164.59235</v>
      </c>
      <c r="G157" s="5">
        <f>F157-L156</f>
        <v>164.59235</v>
      </c>
      <c r="H157" s="5">
        <f t="shared" si="14"/>
        <v>-89.30765</v>
      </c>
      <c r="I157" s="6">
        <f t="shared" si="15"/>
        <v>64.82565970854668</v>
      </c>
      <c r="J157" s="2"/>
      <c r="L157" s="37"/>
    </row>
    <row r="158" spans="1:12" ht="15" customHeight="1">
      <c r="A158" s="17"/>
      <c r="B158" s="64" t="s">
        <v>466</v>
      </c>
      <c r="C158" s="55" t="s">
        <v>209</v>
      </c>
      <c r="D158" s="6">
        <f>D160+D169+D171+D172+D173+D174+D175+D176+D179+D178+D170+D161+D177</f>
        <v>495.67134</v>
      </c>
      <c r="E158" s="6">
        <f>E160+E169+E171+E172+E173+E174+E175+E176+E179+E178+E170+E161+E177</f>
        <v>0</v>
      </c>
      <c r="F158" s="6">
        <f>F160+F169+F171+F172+F173+F174+F175+F176+F179+F178+F170+F161+F177</f>
        <v>234.79020999999997</v>
      </c>
      <c r="G158" s="6" t="e">
        <f>G159+G160+G161+G162+G165+G166+G171+G172+G179+#REF!+#REF!+#REF!</f>
        <v>#REF!</v>
      </c>
      <c r="H158" s="5">
        <f t="shared" si="14"/>
        <v>-260.88113</v>
      </c>
      <c r="I158" s="6">
        <f t="shared" si="15"/>
        <v>47.368122998598224</v>
      </c>
      <c r="J158" s="2"/>
      <c r="L158" s="37"/>
    </row>
    <row r="159" spans="1:12" ht="13.5" customHeight="1" hidden="1">
      <c r="A159" s="17" t="s">
        <v>329</v>
      </c>
      <c r="B159" s="48" t="s">
        <v>330</v>
      </c>
      <c r="C159" s="18" t="s">
        <v>364</v>
      </c>
      <c r="D159" s="1">
        <v>0</v>
      </c>
      <c r="E159" s="1">
        <v>60</v>
      </c>
      <c r="F159" s="4">
        <v>0</v>
      </c>
      <c r="G159" s="5">
        <f>F159-L158</f>
        <v>0</v>
      </c>
      <c r="H159" s="4">
        <f t="shared" si="14"/>
        <v>0</v>
      </c>
      <c r="I159" s="1" t="e">
        <f t="shared" si="15"/>
        <v>#DIV/0!</v>
      </c>
      <c r="J159" s="2"/>
      <c r="L159" s="2"/>
    </row>
    <row r="160" spans="1:12" ht="47.25" hidden="1">
      <c r="A160" s="17" t="s">
        <v>329</v>
      </c>
      <c r="B160" s="64" t="s">
        <v>428</v>
      </c>
      <c r="C160" s="55" t="s">
        <v>210</v>
      </c>
      <c r="D160" s="6"/>
      <c r="E160" s="6"/>
      <c r="F160" s="6"/>
      <c r="G160" s="5">
        <f>F160-L159</f>
        <v>0</v>
      </c>
      <c r="H160" s="5">
        <f t="shared" si="14"/>
        <v>0</v>
      </c>
      <c r="I160" s="6" t="e">
        <f t="shared" si="15"/>
        <v>#DIV/0!</v>
      </c>
      <c r="J160" s="2"/>
      <c r="L160" s="37"/>
    </row>
    <row r="161" spans="1:12" ht="47.25">
      <c r="A161" s="17" t="s">
        <v>332</v>
      </c>
      <c r="B161" s="48" t="s">
        <v>428</v>
      </c>
      <c r="C161" s="7" t="s">
        <v>211</v>
      </c>
      <c r="D161" s="1">
        <v>67.5</v>
      </c>
      <c r="E161" s="1"/>
      <c r="F161" s="4">
        <v>14.05666</v>
      </c>
      <c r="G161" s="5">
        <f>F161-L160</f>
        <v>14.05666</v>
      </c>
      <c r="H161" s="4">
        <f t="shared" si="14"/>
        <v>-53.44334</v>
      </c>
      <c r="I161" s="1">
        <f t="shared" si="15"/>
        <v>20.824681481481484</v>
      </c>
      <c r="J161" s="2"/>
      <c r="L161" s="37"/>
    </row>
    <row r="162" spans="1:12" ht="0.75" customHeight="1">
      <c r="A162" s="19" t="s">
        <v>332</v>
      </c>
      <c r="B162" s="49" t="s">
        <v>338</v>
      </c>
      <c r="C162" s="26" t="s">
        <v>3</v>
      </c>
      <c r="D162" s="1">
        <v>0</v>
      </c>
      <c r="E162" s="1"/>
      <c r="F162" s="4"/>
      <c r="G162" s="5">
        <f>F162-L161</f>
        <v>0</v>
      </c>
      <c r="H162" s="4">
        <f t="shared" si="14"/>
        <v>0</v>
      </c>
      <c r="I162" s="1" t="e">
        <f t="shared" si="15"/>
        <v>#DIV/0!</v>
      </c>
      <c r="J162" s="2"/>
      <c r="L162" s="2"/>
    </row>
    <row r="163" spans="1:12" ht="31.5" hidden="1">
      <c r="A163" s="17" t="s">
        <v>329</v>
      </c>
      <c r="B163" s="48" t="s">
        <v>331</v>
      </c>
      <c r="C163" s="7" t="s">
        <v>437</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329</v>
      </c>
      <c r="B165" s="48" t="s">
        <v>331</v>
      </c>
      <c r="C165" s="7" t="s">
        <v>5</v>
      </c>
      <c r="D165" s="6"/>
      <c r="E165" s="1"/>
      <c r="F165" s="1"/>
      <c r="G165" s="5"/>
      <c r="H165" s="4">
        <f aca="true" t="shared" si="16" ref="H165:H184">F165-D165</f>
        <v>0</v>
      </c>
      <c r="I165" s="1" t="e">
        <f aca="true" t="shared" si="17" ref="I165:I184">F165/D165*100</f>
        <v>#DIV/0!</v>
      </c>
      <c r="J165" s="2"/>
      <c r="L165" s="2"/>
    </row>
    <row r="166" spans="1:12" ht="15.75" hidden="1">
      <c r="A166" s="17" t="s">
        <v>329</v>
      </c>
      <c r="B166" s="48" t="s">
        <v>331</v>
      </c>
      <c r="C166" s="7" t="s">
        <v>4</v>
      </c>
      <c r="D166" s="6"/>
      <c r="E166" s="1">
        <v>0.3</v>
      </c>
      <c r="F166" s="1"/>
      <c r="G166" s="5">
        <f>F166-L164</f>
        <v>0</v>
      </c>
      <c r="H166" s="4">
        <f t="shared" si="16"/>
        <v>0</v>
      </c>
      <c r="I166" s="1" t="e">
        <f t="shared" si="17"/>
        <v>#DIV/0!</v>
      </c>
      <c r="J166" s="2"/>
      <c r="L166" s="2"/>
    </row>
    <row r="167" spans="1:12" ht="15.75" hidden="1">
      <c r="A167" s="17" t="s">
        <v>329</v>
      </c>
      <c r="B167" s="48" t="s">
        <v>331</v>
      </c>
      <c r="C167" s="7" t="s">
        <v>450</v>
      </c>
      <c r="D167" s="11">
        <v>0</v>
      </c>
      <c r="E167" s="1">
        <v>2.5</v>
      </c>
      <c r="F167" s="1">
        <v>0</v>
      </c>
      <c r="G167" s="5">
        <f>F167-L166</f>
        <v>0</v>
      </c>
      <c r="H167" s="4">
        <f t="shared" si="16"/>
        <v>0</v>
      </c>
      <c r="I167" s="1" t="e">
        <f t="shared" si="17"/>
        <v>#DIV/0!</v>
      </c>
      <c r="J167" s="2"/>
      <c r="L167" s="2"/>
    </row>
    <row r="168" spans="1:12" ht="31.5" hidden="1">
      <c r="A168" s="17" t="s">
        <v>329</v>
      </c>
      <c r="B168" s="48" t="s">
        <v>331</v>
      </c>
      <c r="C168" s="7" t="s">
        <v>477</v>
      </c>
      <c r="D168" s="6"/>
      <c r="E168" s="1">
        <v>50</v>
      </c>
      <c r="F168" s="1">
        <v>0</v>
      </c>
      <c r="G168" s="5">
        <f>F168-L167</f>
        <v>0</v>
      </c>
      <c r="H168" s="4">
        <f t="shared" si="16"/>
        <v>0</v>
      </c>
      <c r="I168" s="1" t="e">
        <f t="shared" si="17"/>
        <v>#DIV/0!</v>
      </c>
      <c r="J168" s="2"/>
      <c r="L168" s="2"/>
    </row>
    <row r="169" spans="1:12" ht="15.75" hidden="1">
      <c r="A169" s="17" t="s">
        <v>329</v>
      </c>
      <c r="B169" s="48" t="s">
        <v>330</v>
      </c>
      <c r="C169" s="7" t="s">
        <v>364</v>
      </c>
      <c r="D169" s="6"/>
      <c r="E169" s="1"/>
      <c r="F169" s="1">
        <v>0</v>
      </c>
      <c r="G169" s="5"/>
      <c r="H169" s="4">
        <f t="shared" si="16"/>
        <v>0</v>
      </c>
      <c r="I169" s="1" t="e">
        <f t="shared" si="17"/>
        <v>#DIV/0!</v>
      </c>
      <c r="J169" s="2"/>
      <c r="L169" s="2"/>
    </row>
    <row r="170" spans="1:12" ht="47.25" hidden="1">
      <c r="A170" s="17"/>
      <c r="B170" s="48" t="s">
        <v>80</v>
      </c>
      <c r="C170" s="7" t="s">
        <v>81</v>
      </c>
      <c r="D170" s="6"/>
      <c r="E170" s="1"/>
      <c r="F170" s="1">
        <v>0</v>
      </c>
      <c r="G170" s="5"/>
      <c r="H170" s="4">
        <f t="shared" si="16"/>
        <v>0</v>
      </c>
      <c r="I170" s="1" t="e">
        <f t="shared" si="17"/>
        <v>#DIV/0!</v>
      </c>
      <c r="J170" s="2"/>
      <c r="L170" s="2"/>
    </row>
    <row r="171" spans="1:12" ht="48.75" customHeight="1">
      <c r="A171" s="17" t="s">
        <v>332</v>
      </c>
      <c r="B171" s="48" t="s">
        <v>467</v>
      </c>
      <c r="C171" s="7" t="s">
        <v>227</v>
      </c>
      <c r="D171" s="6">
        <v>119</v>
      </c>
      <c r="E171" s="1"/>
      <c r="F171" s="1">
        <v>59.1577</v>
      </c>
      <c r="G171" s="5"/>
      <c r="H171" s="4">
        <f t="shared" si="16"/>
        <v>-59.8423</v>
      </c>
      <c r="I171" s="1">
        <f t="shared" si="17"/>
        <v>49.71235294117647</v>
      </c>
      <c r="J171" s="2"/>
      <c r="L171" s="2"/>
    </row>
    <row r="172" spans="1:12" ht="63">
      <c r="A172" s="17" t="s">
        <v>332</v>
      </c>
      <c r="B172" s="48" t="s">
        <v>467</v>
      </c>
      <c r="C172" s="7" t="s">
        <v>212</v>
      </c>
      <c r="D172" s="6">
        <v>15</v>
      </c>
      <c r="E172" s="1"/>
      <c r="F172" s="1">
        <v>10.01798</v>
      </c>
      <c r="G172" s="5"/>
      <c r="H172" s="4">
        <f t="shared" si="16"/>
        <v>-4.98202</v>
      </c>
      <c r="I172" s="1">
        <f t="shared" si="17"/>
        <v>66.78653333333332</v>
      </c>
      <c r="J172" s="2"/>
      <c r="L172" s="2"/>
    </row>
    <row r="173" spans="1:12" ht="63">
      <c r="A173" s="17"/>
      <c r="B173" s="48" t="s">
        <v>467</v>
      </c>
      <c r="C173" s="7" t="s">
        <v>228</v>
      </c>
      <c r="D173" s="6">
        <v>70</v>
      </c>
      <c r="E173" s="1"/>
      <c r="F173" s="1">
        <v>8.68336</v>
      </c>
      <c r="G173" s="5"/>
      <c r="H173" s="4">
        <f t="shared" si="16"/>
        <v>-61.31664</v>
      </c>
      <c r="I173" s="1">
        <f t="shared" si="17"/>
        <v>12.4048</v>
      </c>
      <c r="J173" s="2"/>
      <c r="L173" s="2"/>
    </row>
    <row r="174" spans="1:12" ht="78.75">
      <c r="A174" s="17"/>
      <c r="B174" s="48" t="s">
        <v>467</v>
      </c>
      <c r="C174" s="7" t="s">
        <v>273</v>
      </c>
      <c r="D174" s="6">
        <v>15</v>
      </c>
      <c r="E174" s="1"/>
      <c r="F174" s="1">
        <v>9.37275</v>
      </c>
      <c r="G174" s="5"/>
      <c r="H174" s="4">
        <f t="shared" si="16"/>
        <v>-5.62725</v>
      </c>
      <c r="I174" s="1">
        <f t="shared" si="17"/>
        <v>62.485</v>
      </c>
      <c r="J174" s="2"/>
      <c r="L174" s="2"/>
    </row>
    <row r="175" spans="1:12" ht="63">
      <c r="A175" s="17"/>
      <c r="B175" s="48" t="s">
        <v>467</v>
      </c>
      <c r="C175" s="7" t="s">
        <v>214</v>
      </c>
      <c r="D175" s="6">
        <v>45</v>
      </c>
      <c r="E175" s="1"/>
      <c r="F175" s="1">
        <v>26.70822</v>
      </c>
      <c r="G175" s="5"/>
      <c r="H175" s="4">
        <f t="shared" si="16"/>
        <v>-18.29178</v>
      </c>
      <c r="I175" s="1">
        <f t="shared" si="17"/>
        <v>59.351600000000005</v>
      </c>
      <c r="J175" s="2"/>
      <c r="L175" s="2"/>
    </row>
    <row r="176" spans="1:12" ht="78" customHeight="1">
      <c r="A176" s="17"/>
      <c r="B176" s="48" t="s">
        <v>467</v>
      </c>
      <c r="C176" s="7" t="s">
        <v>215</v>
      </c>
      <c r="D176" s="6">
        <v>22.9</v>
      </c>
      <c r="E176" s="1"/>
      <c r="F176" s="1">
        <v>22.744</v>
      </c>
      <c r="G176" s="5"/>
      <c r="H176" s="4">
        <f t="shared" si="16"/>
        <v>-0.1559999999999988</v>
      </c>
      <c r="I176" s="1">
        <f t="shared" si="17"/>
        <v>99.31877729257643</v>
      </c>
      <c r="J176" s="2"/>
      <c r="L176" s="2"/>
    </row>
    <row r="177" spans="1:12" ht="78.75" hidden="1">
      <c r="A177" s="17"/>
      <c r="B177" s="48" t="s">
        <v>467</v>
      </c>
      <c r="C177" s="7" t="s">
        <v>183</v>
      </c>
      <c r="D177" s="6">
        <f>110-110</f>
        <v>0</v>
      </c>
      <c r="E177" s="1"/>
      <c r="F177" s="1">
        <v>0</v>
      </c>
      <c r="G177" s="5"/>
      <c r="H177" s="4">
        <f t="shared" si="16"/>
        <v>0</v>
      </c>
      <c r="I177" s="1" t="e">
        <f t="shared" si="17"/>
        <v>#DIV/0!</v>
      </c>
      <c r="J177" s="2"/>
      <c r="L177" s="2"/>
    </row>
    <row r="178" spans="1:12" ht="78.75">
      <c r="A178" s="17"/>
      <c r="B178" s="48" t="s">
        <v>467</v>
      </c>
      <c r="C178" s="7" t="s">
        <v>79</v>
      </c>
      <c r="D178" s="6">
        <v>9.6</v>
      </c>
      <c r="E178" s="1"/>
      <c r="F178" s="1">
        <v>0</v>
      </c>
      <c r="G178" s="5"/>
      <c r="H178" s="4">
        <f t="shared" si="16"/>
        <v>-9.6</v>
      </c>
      <c r="I178" s="1">
        <f t="shared" si="17"/>
        <v>0</v>
      </c>
      <c r="J178" s="2"/>
      <c r="L178" s="2"/>
    </row>
    <row r="179" spans="1:12" ht="14.25" customHeight="1">
      <c r="A179" s="17" t="s">
        <v>332</v>
      </c>
      <c r="B179" s="48" t="s">
        <v>331</v>
      </c>
      <c r="C179" s="7" t="s">
        <v>216</v>
      </c>
      <c r="D179" s="6">
        <v>131.67134</v>
      </c>
      <c r="E179" s="1"/>
      <c r="F179" s="1">
        <v>84.04954</v>
      </c>
      <c r="G179" s="5"/>
      <c r="H179" s="4">
        <f t="shared" si="16"/>
        <v>-47.62179999999999</v>
      </c>
      <c r="I179" s="1">
        <f t="shared" si="17"/>
        <v>63.83282800949698</v>
      </c>
      <c r="J179" s="2"/>
      <c r="L179" s="2"/>
    </row>
    <row r="180" spans="1:12" ht="13.5" customHeight="1" hidden="1">
      <c r="A180" s="17"/>
      <c r="B180" s="48" t="s">
        <v>467</v>
      </c>
      <c r="C180" s="7" t="s">
        <v>16</v>
      </c>
      <c r="D180" s="6"/>
      <c r="E180" s="1"/>
      <c r="F180" s="1">
        <v>0</v>
      </c>
      <c r="G180" s="5"/>
      <c r="H180" s="4">
        <f t="shared" si="16"/>
        <v>0</v>
      </c>
      <c r="I180" s="1" t="e">
        <f t="shared" si="17"/>
        <v>#DIV/0!</v>
      </c>
      <c r="J180" s="2"/>
      <c r="L180" s="2"/>
    </row>
    <row r="181" spans="1:12" ht="15.75">
      <c r="A181" s="90"/>
      <c r="B181" s="64"/>
      <c r="C181" s="55" t="s">
        <v>419</v>
      </c>
      <c r="D181" s="6">
        <f>D10+D20+D21+D38+D113+D121+D128+D133+D139+D142+D148+D155+D158</f>
        <v>124146.76544999999</v>
      </c>
      <c r="E181" s="6">
        <f>E10+E20+E21+E38+E113+E121+E128+E133+E139+E142+E148+E155+E158</f>
        <v>36216.49999999999</v>
      </c>
      <c r="F181" s="6">
        <f>F10+F20+F21+F38+F113+F121+F128+F133+F139+F142+F148+F155+F158</f>
        <v>77477.34094000001</v>
      </c>
      <c r="G181" s="6" t="e">
        <f>G10+G21+G36+G38+G113+G121+G128+G133+G138+G140+G142+G146+G150+G156+G157+G159+G160+G162+G161+G163+G164+G166+G167+G168</f>
        <v>#REF!</v>
      </c>
      <c r="H181" s="5">
        <f t="shared" si="16"/>
        <v>-46669.42450999998</v>
      </c>
      <c r="I181" s="6">
        <f t="shared" si="17"/>
        <v>62.407861098245</v>
      </c>
      <c r="J181" s="2"/>
      <c r="L181" s="37"/>
    </row>
    <row r="182" spans="1:12" ht="18.75" customHeight="1">
      <c r="A182" s="90" t="s">
        <v>332</v>
      </c>
      <c r="B182" s="64" t="s">
        <v>333</v>
      </c>
      <c r="C182" s="55" t="s">
        <v>420</v>
      </c>
      <c r="D182" s="6">
        <v>42313.4</v>
      </c>
      <c r="E182" s="6">
        <v>10216.7</v>
      </c>
      <c r="F182" s="5">
        <v>26079.37651</v>
      </c>
      <c r="G182" s="5">
        <f>F182-L181</f>
        <v>26079.37651</v>
      </c>
      <c r="H182" s="5">
        <f t="shared" si="16"/>
        <v>-16234.023490000003</v>
      </c>
      <c r="I182" s="6">
        <f t="shared" si="17"/>
        <v>61.63384769363841</v>
      </c>
      <c r="J182" s="2"/>
      <c r="L182" s="2"/>
    </row>
    <row r="183" spans="1:12" ht="33.75" customHeight="1">
      <c r="A183" s="90"/>
      <c r="B183" s="64" t="s">
        <v>131</v>
      </c>
      <c r="C183" s="55" t="s">
        <v>404</v>
      </c>
      <c r="D183" s="6">
        <v>135.012</v>
      </c>
      <c r="E183" s="6"/>
      <c r="F183" s="5">
        <v>135.01154</v>
      </c>
      <c r="G183" s="5"/>
      <c r="H183" s="5">
        <f t="shared" si="16"/>
        <v>-0.00046000000000390173</v>
      </c>
      <c r="I183" s="6">
        <f t="shared" si="17"/>
        <v>99.99965928954462</v>
      </c>
      <c r="J183" s="2"/>
      <c r="L183" s="2"/>
    </row>
    <row r="184" spans="1:12" ht="15.75">
      <c r="A184" s="90"/>
      <c r="B184" s="90"/>
      <c r="C184" s="55" t="s">
        <v>289</v>
      </c>
      <c r="D184" s="6">
        <f>SUM(D181:D183)</f>
        <v>166595.17745</v>
      </c>
      <c r="E184" s="6">
        <f>SUM(E181:E183)</f>
        <v>46433.2</v>
      </c>
      <c r="F184" s="6">
        <f>SUM(F181:F183)</f>
        <v>103691.72899000002</v>
      </c>
      <c r="G184" s="6" t="e">
        <f>G181+G182</f>
        <v>#REF!</v>
      </c>
      <c r="H184" s="5">
        <f t="shared" si="16"/>
        <v>-62903.44845999997</v>
      </c>
      <c r="I184" s="6">
        <f t="shared" si="17"/>
        <v>62.24173507130535</v>
      </c>
      <c r="J184" s="58"/>
      <c r="L184" s="29"/>
    </row>
    <row r="185" spans="1:12" ht="15.75">
      <c r="A185" s="111"/>
      <c r="B185" s="111"/>
      <c r="C185" s="111"/>
      <c r="D185" s="111"/>
      <c r="E185" s="111"/>
      <c r="F185" s="111"/>
      <c r="G185" s="111"/>
      <c r="H185" s="111"/>
      <c r="I185" s="112"/>
      <c r="J185" s="58"/>
      <c r="L185" s="29"/>
    </row>
    <row r="186" spans="1:12" s="28" customFormat="1" ht="15.75">
      <c r="A186" s="91"/>
      <c r="B186" s="92"/>
      <c r="C186" s="93" t="s">
        <v>475</v>
      </c>
      <c r="D186" s="71">
        <f>D187+D189+D200+D204+D217+D223+D226+D231+D235+D239+D242+D245+D251+D188</f>
        <v>26418.34056</v>
      </c>
      <c r="E186" s="71">
        <f>E187+E189+E200+E204+E217+E223+E226+E231+E235+E239+E242+E245+E251+E188</f>
        <v>116</v>
      </c>
      <c r="F186" s="71">
        <f>F187+F189+F200+F204+F217+F223+F226+F231+F235+F239+F242+F245+F251+F188</f>
        <v>7400.498020000001</v>
      </c>
      <c r="G186" s="13"/>
      <c r="H186" s="5">
        <f aca="true" t="shared" si="18" ref="H186:H217">F186-D186</f>
        <v>-19017.842539999998</v>
      </c>
      <c r="I186" s="6">
        <f aca="true" t="shared" si="19" ref="I186:I217">F186/D186*100</f>
        <v>28.01272851787327</v>
      </c>
      <c r="J186" s="103"/>
      <c r="L186" s="104"/>
    </row>
    <row r="187" spans="1:12" ht="30.75" customHeight="1">
      <c r="A187" s="94"/>
      <c r="B187" s="95" t="s">
        <v>237</v>
      </c>
      <c r="C187" s="96" t="s">
        <v>90</v>
      </c>
      <c r="D187" s="71">
        <f>653.01589+2.3+12.5</f>
        <v>667.81589</v>
      </c>
      <c r="E187" s="71"/>
      <c r="F187" s="71">
        <v>79.25572</v>
      </c>
      <c r="G187" s="13"/>
      <c r="H187" s="5">
        <f t="shared" si="18"/>
        <v>-588.56017</v>
      </c>
      <c r="I187" s="6">
        <f t="shared" si="19"/>
        <v>11.867899699122164</v>
      </c>
      <c r="J187" s="58"/>
      <c r="L187" s="29"/>
    </row>
    <row r="188" spans="1:12" ht="72" customHeight="1">
      <c r="A188" s="94"/>
      <c r="B188" s="95" t="s">
        <v>230</v>
      </c>
      <c r="C188" s="96" t="s">
        <v>236</v>
      </c>
      <c r="D188" s="76">
        <v>60</v>
      </c>
      <c r="E188" s="76"/>
      <c r="F188" s="76">
        <v>0</v>
      </c>
      <c r="G188" s="101"/>
      <c r="H188" s="5">
        <f t="shared" si="18"/>
        <v>-60</v>
      </c>
      <c r="I188" s="73">
        <f t="shared" si="19"/>
        <v>0</v>
      </c>
      <c r="J188" s="58"/>
      <c r="L188" s="29"/>
    </row>
    <row r="189" spans="1:12" ht="34.5" customHeight="1">
      <c r="A189" s="97"/>
      <c r="B189" s="102" t="s">
        <v>298</v>
      </c>
      <c r="C189" s="98" t="s">
        <v>458</v>
      </c>
      <c r="D189" s="76">
        <f>D190+D192+D195+D193+D198+D191+D194+D196+D197+D199</f>
        <v>2209.20287</v>
      </c>
      <c r="E189" s="76">
        <f>E190+E192+E195+E193+E198+E191+E194+E196+E197+E199</f>
        <v>0</v>
      </c>
      <c r="F189" s="76">
        <f>F190+F192+F195+F193+F198+F191+F194+F196+F197+F199</f>
        <v>793.75914</v>
      </c>
      <c r="G189" s="68"/>
      <c r="H189" s="68">
        <f t="shared" si="18"/>
        <v>-1415.44373</v>
      </c>
      <c r="I189" s="73">
        <f t="shared" si="19"/>
        <v>35.929662720382034</v>
      </c>
      <c r="J189" s="58"/>
      <c r="L189" s="29"/>
    </row>
    <row r="190" spans="1:12" ht="31.5">
      <c r="A190" s="97"/>
      <c r="B190" s="75" t="s">
        <v>356</v>
      </c>
      <c r="C190" s="63" t="s">
        <v>284</v>
      </c>
      <c r="D190" s="76">
        <f>1199.50348-13.7</f>
        <v>1185.80348</v>
      </c>
      <c r="E190" s="76"/>
      <c r="F190" s="76">
        <v>229.40575</v>
      </c>
      <c r="G190" s="68"/>
      <c r="H190" s="68">
        <f t="shared" si="18"/>
        <v>-956.39773</v>
      </c>
      <c r="I190" s="73">
        <f t="shared" si="19"/>
        <v>19.346017604873282</v>
      </c>
      <c r="J190" s="58"/>
      <c r="L190" s="29"/>
    </row>
    <row r="191" spans="1:12" ht="80.25" customHeight="1">
      <c r="A191" s="27"/>
      <c r="B191" s="75" t="s">
        <v>356</v>
      </c>
      <c r="C191" s="63" t="s">
        <v>82</v>
      </c>
      <c r="D191" s="76">
        <v>0.31044</v>
      </c>
      <c r="E191" s="76"/>
      <c r="F191" s="76">
        <v>0.31044</v>
      </c>
      <c r="G191" s="68"/>
      <c r="H191" s="68">
        <f t="shared" si="18"/>
        <v>0</v>
      </c>
      <c r="I191" s="73">
        <f t="shared" si="19"/>
        <v>100</v>
      </c>
      <c r="J191" s="58"/>
      <c r="L191" s="29"/>
    </row>
    <row r="192" spans="1:12" ht="50.25" customHeight="1">
      <c r="A192" s="27"/>
      <c r="B192" s="75" t="s">
        <v>356</v>
      </c>
      <c r="C192" s="63" t="s">
        <v>184</v>
      </c>
      <c r="D192" s="76">
        <v>38.391</v>
      </c>
      <c r="E192" s="76"/>
      <c r="F192" s="76">
        <v>38.391</v>
      </c>
      <c r="G192" s="68"/>
      <c r="H192" s="68">
        <f t="shared" si="18"/>
        <v>0</v>
      </c>
      <c r="I192" s="73">
        <f t="shared" si="19"/>
        <v>100</v>
      </c>
      <c r="J192" s="58"/>
      <c r="L192" s="29"/>
    </row>
    <row r="193" spans="1:12" ht="32.25" customHeight="1">
      <c r="A193" s="27"/>
      <c r="B193" s="75" t="s">
        <v>358</v>
      </c>
      <c r="C193" s="63" t="s">
        <v>285</v>
      </c>
      <c r="D193" s="76">
        <f>637.30567+17.895+50</f>
        <v>705.20067</v>
      </c>
      <c r="E193" s="76"/>
      <c r="F193" s="76">
        <v>415.51567</v>
      </c>
      <c r="G193" s="68"/>
      <c r="H193" s="68">
        <f t="shared" si="18"/>
        <v>-289.68499999999995</v>
      </c>
      <c r="I193" s="73">
        <f t="shared" si="19"/>
        <v>58.92162155773335</v>
      </c>
      <c r="J193" s="58"/>
      <c r="L193" s="29"/>
    </row>
    <row r="194" spans="1:12" ht="80.25" customHeight="1">
      <c r="A194" s="27"/>
      <c r="B194" s="75" t="s">
        <v>358</v>
      </c>
      <c r="C194" s="63" t="s">
        <v>82</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358</v>
      </c>
      <c r="C195" s="63" t="s">
        <v>454</v>
      </c>
      <c r="D195" s="76">
        <v>10</v>
      </c>
      <c r="E195" s="76"/>
      <c r="F195" s="76">
        <v>0</v>
      </c>
      <c r="G195" s="68"/>
      <c r="H195" s="68">
        <f t="shared" si="18"/>
        <v>-10</v>
      </c>
      <c r="I195" s="73">
        <f t="shared" si="19"/>
        <v>0</v>
      </c>
      <c r="J195" s="58"/>
      <c r="L195" s="29"/>
    </row>
    <row r="196" spans="1:12" ht="20.25" customHeight="1">
      <c r="A196" s="27"/>
      <c r="B196" s="75" t="s">
        <v>375</v>
      </c>
      <c r="C196" s="63" t="s">
        <v>46</v>
      </c>
      <c r="D196" s="76">
        <v>9.98</v>
      </c>
      <c r="E196" s="76"/>
      <c r="F196" s="76">
        <v>9.98</v>
      </c>
      <c r="G196" s="68"/>
      <c r="H196" s="69">
        <f t="shared" si="18"/>
        <v>0</v>
      </c>
      <c r="I196" s="70">
        <f t="shared" si="19"/>
        <v>100</v>
      </c>
      <c r="J196" s="58"/>
      <c r="L196" s="29"/>
    </row>
    <row r="197" spans="1:12" ht="31.5">
      <c r="A197" s="27"/>
      <c r="B197" s="75" t="s">
        <v>376</v>
      </c>
      <c r="C197" s="63" t="s">
        <v>92</v>
      </c>
      <c r="D197" s="76">
        <v>7.04</v>
      </c>
      <c r="E197" s="76"/>
      <c r="F197" s="76">
        <v>7.04</v>
      </c>
      <c r="G197" s="68"/>
      <c r="H197" s="69">
        <f t="shared" si="18"/>
        <v>0</v>
      </c>
      <c r="I197" s="70">
        <f t="shared" si="19"/>
        <v>100</v>
      </c>
      <c r="J197" s="58"/>
      <c r="L197" s="29"/>
    </row>
    <row r="198" spans="1:12" ht="51" customHeight="1">
      <c r="A198" s="27"/>
      <c r="B198" s="66" t="s">
        <v>377</v>
      </c>
      <c r="C198" s="18" t="s">
        <v>286</v>
      </c>
      <c r="D198" s="67">
        <v>13.34</v>
      </c>
      <c r="E198" s="67"/>
      <c r="F198" s="67">
        <v>13.34</v>
      </c>
      <c r="G198" s="68"/>
      <c r="H198" s="69">
        <f t="shared" si="18"/>
        <v>0</v>
      </c>
      <c r="I198" s="70">
        <f t="shared" si="19"/>
        <v>100</v>
      </c>
      <c r="J198" s="58"/>
      <c r="L198" s="29"/>
    </row>
    <row r="199" spans="1:12" ht="31.5">
      <c r="A199" s="27"/>
      <c r="B199" s="66" t="s">
        <v>434</v>
      </c>
      <c r="C199" s="18" t="s">
        <v>108</v>
      </c>
      <c r="D199" s="67">
        <v>5.389</v>
      </c>
      <c r="E199" s="67"/>
      <c r="F199" s="67">
        <v>0</v>
      </c>
      <c r="G199" s="68"/>
      <c r="H199" s="69">
        <f t="shared" si="18"/>
        <v>-5.389</v>
      </c>
      <c r="I199" s="70">
        <f t="shared" si="19"/>
        <v>0</v>
      </c>
      <c r="J199" s="58"/>
      <c r="L199" s="29"/>
    </row>
    <row r="200" spans="1:12" ht="15.75">
      <c r="A200" s="27"/>
      <c r="B200" s="75" t="s">
        <v>83</v>
      </c>
      <c r="C200" s="74" t="s">
        <v>283</v>
      </c>
      <c r="D200" s="76">
        <f>D201+D203+D202</f>
        <v>199.56033000000002</v>
      </c>
      <c r="E200" s="76">
        <f>E201+E203+E202</f>
        <v>0</v>
      </c>
      <c r="F200" s="76">
        <f>F201+F203+F202</f>
        <v>199.56034</v>
      </c>
      <c r="G200" s="68"/>
      <c r="H200" s="69">
        <f t="shared" si="18"/>
        <v>9.999999974752427E-06</v>
      </c>
      <c r="I200" s="70">
        <f t="shared" si="19"/>
        <v>100.00000501101596</v>
      </c>
      <c r="J200" s="58"/>
      <c r="L200" s="29"/>
    </row>
    <row r="201" spans="1:12" ht="47.25">
      <c r="A201" s="27"/>
      <c r="B201" s="75" t="s">
        <v>365</v>
      </c>
      <c r="C201" s="74" t="s">
        <v>87</v>
      </c>
      <c r="D201" s="76">
        <v>63.32148</v>
      </c>
      <c r="E201" s="76"/>
      <c r="F201" s="76">
        <v>63.32149</v>
      </c>
      <c r="G201" s="68"/>
      <c r="H201" s="69">
        <f t="shared" si="18"/>
        <v>9.999999996068709E-06</v>
      </c>
      <c r="I201" s="70">
        <f t="shared" si="19"/>
        <v>100.00001579242937</v>
      </c>
      <c r="J201" s="58"/>
      <c r="L201" s="29"/>
    </row>
    <row r="202" spans="1:12" ht="63" hidden="1">
      <c r="A202" s="27"/>
      <c r="B202" s="75" t="s">
        <v>19</v>
      </c>
      <c r="C202" s="55" t="s">
        <v>238</v>
      </c>
      <c r="D202" s="76"/>
      <c r="E202" s="76"/>
      <c r="F202" s="76"/>
      <c r="G202" s="68"/>
      <c r="H202" s="68">
        <f t="shared" si="18"/>
        <v>0</v>
      </c>
      <c r="I202" s="73" t="e">
        <f t="shared" si="19"/>
        <v>#DIV/0!</v>
      </c>
      <c r="J202" s="58"/>
      <c r="L202" s="29"/>
    </row>
    <row r="203" spans="1:12" ht="78.75">
      <c r="A203" s="27"/>
      <c r="B203" s="75" t="s">
        <v>312</v>
      </c>
      <c r="C203" s="63" t="s">
        <v>82</v>
      </c>
      <c r="D203" s="76">
        <v>136.23885</v>
      </c>
      <c r="E203" s="76"/>
      <c r="F203" s="76">
        <v>136.23885</v>
      </c>
      <c r="G203" s="68"/>
      <c r="H203" s="68">
        <f t="shared" si="18"/>
        <v>0</v>
      </c>
      <c r="I203" s="73">
        <f t="shared" si="19"/>
        <v>100</v>
      </c>
      <c r="J203" s="58"/>
      <c r="L203" s="29"/>
    </row>
    <row r="204" spans="1:12" ht="15.75">
      <c r="A204" s="27"/>
      <c r="B204" s="64" t="s">
        <v>317</v>
      </c>
      <c r="C204" s="74" t="s">
        <v>287</v>
      </c>
      <c r="D204" s="71">
        <f>D205+D206+D207+D208+D209+D210+D211+D212+D213+D214+D215+D216</f>
        <v>12967.29917</v>
      </c>
      <c r="E204" s="71">
        <f>E205+E206+E207+E208+E209+E210+E211+E212+E213+E214+E215+E216</f>
        <v>0</v>
      </c>
      <c r="F204" s="71">
        <f>F205+F206+F207+F208+F209+F210+F211+F212+F213+F214+F215+F216</f>
        <v>2970.3569499999994</v>
      </c>
      <c r="G204" s="5"/>
      <c r="H204" s="68">
        <f t="shared" si="18"/>
        <v>-9996.94222</v>
      </c>
      <c r="I204" s="73">
        <f t="shared" si="19"/>
        <v>22.90651978533784</v>
      </c>
      <c r="J204" s="58"/>
      <c r="L204" s="29"/>
    </row>
    <row r="205" spans="1:12" ht="63">
      <c r="A205" s="27"/>
      <c r="B205" s="48" t="s">
        <v>319</v>
      </c>
      <c r="C205" s="7" t="s">
        <v>50</v>
      </c>
      <c r="D205" s="61">
        <f>1030.175+300</f>
        <v>1330.175</v>
      </c>
      <c r="E205" s="13"/>
      <c r="F205" s="4">
        <v>967.45748</v>
      </c>
      <c r="G205" s="5"/>
      <c r="H205" s="69">
        <f t="shared" si="18"/>
        <v>-362.7175199999999</v>
      </c>
      <c r="I205" s="70">
        <f t="shared" si="19"/>
        <v>72.73159396320034</v>
      </c>
      <c r="J205" s="58"/>
      <c r="L205" s="29"/>
    </row>
    <row r="206" spans="1:12" ht="69" customHeight="1">
      <c r="A206" s="27"/>
      <c r="B206" s="64" t="s">
        <v>319</v>
      </c>
      <c r="C206" s="7" t="s">
        <v>49</v>
      </c>
      <c r="D206" s="71">
        <v>17.57387</v>
      </c>
      <c r="E206" s="13"/>
      <c r="F206" s="5">
        <v>12.57387</v>
      </c>
      <c r="G206" s="5"/>
      <c r="H206" s="68">
        <f t="shared" si="18"/>
        <v>-5</v>
      </c>
      <c r="I206" s="73">
        <f t="shared" si="19"/>
        <v>71.54866856304274</v>
      </c>
      <c r="J206" s="58"/>
      <c r="L206" s="29"/>
    </row>
    <row r="207" spans="1:12" ht="78.75">
      <c r="A207" s="27"/>
      <c r="B207" s="64" t="s">
        <v>319</v>
      </c>
      <c r="C207" s="63" t="s">
        <v>82</v>
      </c>
      <c r="D207" s="71">
        <v>415.61172</v>
      </c>
      <c r="E207" s="13"/>
      <c r="F207" s="5">
        <v>415.61172</v>
      </c>
      <c r="G207" s="5"/>
      <c r="H207" s="68">
        <f t="shared" si="18"/>
        <v>0</v>
      </c>
      <c r="I207" s="73">
        <f t="shared" si="19"/>
        <v>100</v>
      </c>
      <c r="J207" s="58"/>
      <c r="L207" s="29"/>
    </row>
    <row r="208" spans="1:12" ht="47.25">
      <c r="A208" s="27"/>
      <c r="B208" s="64" t="s">
        <v>40</v>
      </c>
      <c r="C208" s="55" t="s">
        <v>75</v>
      </c>
      <c r="D208" s="71">
        <v>463</v>
      </c>
      <c r="E208" s="13"/>
      <c r="F208" s="5">
        <v>50</v>
      </c>
      <c r="G208" s="5"/>
      <c r="H208" s="68">
        <f t="shared" si="18"/>
        <v>-413</v>
      </c>
      <c r="I208" s="73">
        <f t="shared" si="19"/>
        <v>10.799136069114471</v>
      </c>
      <c r="J208" s="58"/>
      <c r="L208" s="29"/>
    </row>
    <row r="209" spans="1:12" ht="47.25">
      <c r="A209" s="27"/>
      <c r="B209" s="64" t="s">
        <v>40</v>
      </c>
      <c r="C209" s="55" t="s">
        <v>91</v>
      </c>
      <c r="D209" s="71">
        <v>427.99884</v>
      </c>
      <c r="E209" s="13"/>
      <c r="F209" s="5">
        <v>285.31918</v>
      </c>
      <c r="G209" s="5"/>
      <c r="H209" s="68">
        <f t="shared" si="18"/>
        <v>-142.67965999999996</v>
      </c>
      <c r="I209" s="73">
        <f t="shared" si="19"/>
        <v>66.66354048996956</v>
      </c>
      <c r="J209" s="58"/>
      <c r="L209" s="29"/>
    </row>
    <row r="210" spans="1:12" ht="78.75">
      <c r="A210" s="27"/>
      <c r="B210" s="64" t="s">
        <v>40</v>
      </c>
      <c r="C210" s="63" t="s">
        <v>82</v>
      </c>
      <c r="D210" s="71">
        <v>424.19606</v>
      </c>
      <c r="E210" s="13"/>
      <c r="F210" s="5">
        <v>424.19606</v>
      </c>
      <c r="G210" s="5"/>
      <c r="H210" s="68">
        <f t="shared" si="18"/>
        <v>0</v>
      </c>
      <c r="I210" s="73">
        <f t="shared" si="19"/>
        <v>100</v>
      </c>
      <c r="J210" s="58"/>
      <c r="L210" s="29"/>
    </row>
    <row r="211" spans="1:12" ht="78.75">
      <c r="A211" s="27"/>
      <c r="B211" s="48" t="s">
        <v>15</v>
      </c>
      <c r="C211" s="55" t="s">
        <v>51</v>
      </c>
      <c r="D211" s="12">
        <v>736.86</v>
      </c>
      <c r="E211" s="13"/>
      <c r="F211" s="4">
        <v>93.1</v>
      </c>
      <c r="G211" s="5"/>
      <c r="H211" s="69">
        <f t="shared" si="18"/>
        <v>-643.76</v>
      </c>
      <c r="I211" s="70">
        <f t="shared" si="19"/>
        <v>12.63469315745189</v>
      </c>
      <c r="J211" s="58"/>
      <c r="L211" s="29"/>
    </row>
    <row r="212" spans="1:12" ht="47.25" customHeight="1" hidden="1">
      <c r="A212" s="27"/>
      <c r="B212" s="48" t="s">
        <v>15</v>
      </c>
      <c r="C212" s="55" t="s">
        <v>88</v>
      </c>
      <c r="D212" s="12">
        <v>0</v>
      </c>
      <c r="E212" s="13"/>
      <c r="F212" s="4"/>
      <c r="G212" s="5"/>
      <c r="H212" s="69">
        <f t="shared" si="18"/>
        <v>0</v>
      </c>
      <c r="I212" s="70" t="e">
        <f t="shared" si="19"/>
        <v>#DIV/0!</v>
      </c>
      <c r="J212" s="58"/>
      <c r="L212" s="29"/>
    </row>
    <row r="213" spans="1:12" ht="47.25">
      <c r="A213" s="27"/>
      <c r="B213" s="48" t="s">
        <v>321</v>
      </c>
      <c r="C213" s="7" t="s">
        <v>52</v>
      </c>
      <c r="D213" s="12">
        <v>274.505</v>
      </c>
      <c r="E213" s="13"/>
      <c r="F213" s="4">
        <v>91.42899</v>
      </c>
      <c r="G213" s="5"/>
      <c r="H213" s="69">
        <f t="shared" si="18"/>
        <v>-183.07601</v>
      </c>
      <c r="I213" s="70">
        <f t="shared" si="19"/>
        <v>33.306857798582904</v>
      </c>
      <c r="J213" s="58"/>
      <c r="L213" s="29"/>
    </row>
    <row r="214" spans="1:12" ht="78.75">
      <c r="A214" s="27"/>
      <c r="B214" s="64" t="s">
        <v>321</v>
      </c>
      <c r="C214" s="63" t="s">
        <v>82</v>
      </c>
      <c r="D214" s="71">
        <f>129.00614+197.81</f>
        <v>326.81614</v>
      </c>
      <c r="E214" s="13"/>
      <c r="F214" s="5">
        <v>129.00614</v>
      </c>
      <c r="G214" s="5"/>
      <c r="H214" s="68">
        <f t="shared" si="18"/>
        <v>-197.81000000000003</v>
      </c>
      <c r="I214" s="73">
        <f t="shared" si="19"/>
        <v>39.473613512478295</v>
      </c>
      <c r="J214" s="58"/>
      <c r="L214" s="29"/>
    </row>
    <row r="215" spans="1:12" ht="78.75">
      <c r="A215" s="27"/>
      <c r="B215" s="64" t="s">
        <v>23</v>
      </c>
      <c r="C215" s="55" t="s">
        <v>84</v>
      </c>
      <c r="D215" s="71">
        <v>50.56254</v>
      </c>
      <c r="E215" s="13"/>
      <c r="F215" s="5">
        <v>50.56254</v>
      </c>
      <c r="G215" s="5"/>
      <c r="H215" s="68">
        <f t="shared" si="18"/>
        <v>0</v>
      </c>
      <c r="I215" s="73">
        <f t="shared" si="19"/>
        <v>100</v>
      </c>
      <c r="J215" s="58"/>
      <c r="L215" s="29"/>
    </row>
    <row r="216" spans="1:12" ht="63">
      <c r="A216" s="27"/>
      <c r="B216" s="64" t="s">
        <v>93</v>
      </c>
      <c r="C216" s="55" t="s">
        <v>94</v>
      </c>
      <c r="D216" s="71">
        <v>8500</v>
      </c>
      <c r="E216" s="13"/>
      <c r="F216" s="5">
        <v>451.10097</v>
      </c>
      <c r="G216" s="5"/>
      <c r="H216" s="68">
        <f t="shared" si="18"/>
        <v>-8048.89903</v>
      </c>
      <c r="I216" s="73">
        <f t="shared" si="19"/>
        <v>5.307070235294118</v>
      </c>
      <c r="J216" s="58"/>
      <c r="L216" s="29"/>
    </row>
    <row r="217" spans="1:12" ht="31.5" customHeight="1">
      <c r="A217" s="22" t="s">
        <v>328</v>
      </c>
      <c r="B217" s="72" t="s">
        <v>335</v>
      </c>
      <c r="C217" s="63" t="s">
        <v>242</v>
      </c>
      <c r="D217" s="71">
        <f>D218+D219+D222+D221+D220</f>
        <v>290.269</v>
      </c>
      <c r="E217" s="71">
        <f>E218+E219+E222+E221+E220</f>
        <v>0</v>
      </c>
      <c r="F217" s="71">
        <f>F218+F219+F222+F221+F220</f>
        <v>115.569</v>
      </c>
      <c r="G217" s="5" t="e">
        <f>F217-#REF!</f>
        <v>#REF!</v>
      </c>
      <c r="H217" s="68">
        <f t="shared" si="18"/>
        <v>-174.7</v>
      </c>
      <c r="I217" s="73">
        <f t="shared" si="19"/>
        <v>39.814447977565635</v>
      </c>
      <c r="J217" s="58"/>
      <c r="L217" s="29"/>
    </row>
    <row r="218" spans="1:12" ht="20.25" customHeight="1">
      <c r="A218" s="17" t="s">
        <v>343</v>
      </c>
      <c r="B218" s="48" t="s">
        <v>444</v>
      </c>
      <c r="C218" s="24" t="s">
        <v>243</v>
      </c>
      <c r="D218" s="12">
        <v>24.7</v>
      </c>
      <c r="E218" s="13"/>
      <c r="F218" s="4">
        <v>14.7</v>
      </c>
      <c r="G218" s="5"/>
      <c r="H218" s="69">
        <f aca="true" t="shared" si="20" ref="H218:H249">F218-D218</f>
        <v>-10</v>
      </c>
      <c r="I218" s="70">
        <f aca="true" t="shared" si="21" ref="I218:I249">F218/D218*100</f>
        <v>59.51417004048582</v>
      </c>
      <c r="J218" s="58"/>
      <c r="L218" s="29"/>
    </row>
    <row r="219" spans="1:12" ht="17.25" customHeight="1">
      <c r="A219" s="17" t="s">
        <v>359</v>
      </c>
      <c r="B219" s="48" t="s">
        <v>445</v>
      </c>
      <c r="C219" s="24" t="s">
        <v>244</v>
      </c>
      <c r="D219" s="12">
        <v>11.369</v>
      </c>
      <c r="E219" s="13"/>
      <c r="F219" s="4">
        <v>6.369</v>
      </c>
      <c r="G219" s="5"/>
      <c r="H219" s="69">
        <f t="shared" si="20"/>
        <v>-5</v>
      </c>
      <c r="I219" s="70">
        <f t="shared" si="21"/>
        <v>56.0207582021286</v>
      </c>
      <c r="J219" s="58"/>
      <c r="L219" s="29"/>
    </row>
    <row r="220" spans="1:12" ht="36" customHeight="1">
      <c r="A220" s="17"/>
      <c r="B220" s="48" t="s">
        <v>446</v>
      </c>
      <c r="C220" s="24" t="s">
        <v>205</v>
      </c>
      <c r="D220" s="12">
        <v>239.2</v>
      </c>
      <c r="E220" s="13"/>
      <c r="F220" s="4">
        <v>85.854</v>
      </c>
      <c r="G220" s="5"/>
      <c r="H220" s="69">
        <f t="shared" si="20"/>
        <v>-153.346</v>
      </c>
      <c r="I220" s="70">
        <f t="shared" si="21"/>
        <v>35.892140468227424</v>
      </c>
      <c r="J220" s="58"/>
      <c r="L220" s="29"/>
    </row>
    <row r="221" spans="1:12" ht="56.25" customHeight="1">
      <c r="A221" s="17"/>
      <c r="B221" s="48" t="s">
        <v>424</v>
      </c>
      <c r="C221" s="24" t="s">
        <v>245</v>
      </c>
      <c r="D221" s="12">
        <v>5</v>
      </c>
      <c r="E221" s="13"/>
      <c r="F221" s="4">
        <v>5</v>
      </c>
      <c r="G221" s="5"/>
      <c r="H221" s="69">
        <f t="shared" si="20"/>
        <v>0</v>
      </c>
      <c r="I221" s="70">
        <f t="shared" si="21"/>
        <v>100</v>
      </c>
      <c r="J221" s="58"/>
      <c r="L221" s="29"/>
    </row>
    <row r="222" spans="1:12" ht="31.5" customHeight="1">
      <c r="A222" s="17" t="s">
        <v>359</v>
      </c>
      <c r="B222" s="48" t="s">
        <v>424</v>
      </c>
      <c r="C222" s="24" t="s">
        <v>246</v>
      </c>
      <c r="D222" s="12">
        <v>10</v>
      </c>
      <c r="E222" s="13"/>
      <c r="F222" s="4">
        <v>3.646</v>
      </c>
      <c r="G222" s="5"/>
      <c r="H222" s="69">
        <f t="shared" si="20"/>
        <v>-6.354</v>
      </c>
      <c r="I222" s="70">
        <f t="shared" si="21"/>
        <v>36.46</v>
      </c>
      <c r="J222" s="58"/>
      <c r="L222" s="29"/>
    </row>
    <row r="223" spans="1:12" ht="15.75">
      <c r="A223" s="17"/>
      <c r="B223" s="64" t="s">
        <v>324</v>
      </c>
      <c r="C223" s="55" t="s">
        <v>247</v>
      </c>
      <c r="D223" s="71">
        <f>D224+D225</f>
        <v>162.71800000000002</v>
      </c>
      <c r="E223" s="71">
        <f>E224+E225</f>
        <v>0</v>
      </c>
      <c r="F223" s="71">
        <f>F224+F225</f>
        <v>0</v>
      </c>
      <c r="G223" s="71">
        <f>G224+G225</f>
        <v>0</v>
      </c>
      <c r="H223" s="68">
        <f t="shared" si="20"/>
        <v>-162.71800000000002</v>
      </c>
      <c r="I223" s="73">
        <f t="shared" si="21"/>
        <v>0</v>
      </c>
      <c r="J223" s="58"/>
      <c r="L223" s="29"/>
    </row>
    <row r="224" spans="1:12" ht="55.5" customHeight="1">
      <c r="A224" s="17"/>
      <c r="B224" s="64" t="s">
        <v>325</v>
      </c>
      <c r="C224" s="87" t="s">
        <v>248</v>
      </c>
      <c r="D224" s="71">
        <v>70</v>
      </c>
      <c r="E224" s="13"/>
      <c r="F224" s="5">
        <v>0</v>
      </c>
      <c r="G224" s="5"/>
      <c r="H224" s="68">
        <f t="shared" si="20"/>
        <v>-70</v>
      </c>
      <c r="I224" s="73">
        <f t="shared" si="21"/>
        <v>0</v>
      </c>
      <c r="J224" s="58"/>
      <c r="L224" s="29"/>
    </row>
    <row r="225" spans="1:12" ht="81.75" customHeight="1">
      <c r="A225" s="17"/>
      <c r="B225" s="64" t="s">
        <v>325</v>
      </c>
      <c r="C225" s="63" t="s">
        <v>82</v>
      </c>
      <c r="D225" s="71">
        <v>92.718</v>
      </c>
      <c r="E225" s="13"/>
      <c r="F225" s="5">
        <v>0</v>
      </c>
      <c r="G225" s="5"/>
      <c r="H225" s="68">
        <f t="shared" si="20"/>
        <v>-92.718</v>
      </c>
      <c r="I225" s="73">
        <f t="shared" si="21"/>
        <v>0</v>
      </c>
      <c r="J225" s="58"/>
      <c r="L225" s="29"/>
    </row>
    <row r="226" spans="1:12" ht="15.75">
      <c r="A226" s="17"/>
      <c r="B226" s="64" t="s">
        <v>180</v>
      </c>
      <c r="C226" s="55" t="s">
        <v>249</v>
      </c>
      <c r="D226" s="6">
        <f>D227+D228+D230+D229</f>
        <v>6047.51986</v>
      </c>
      <c r="E226" s="6">
        <f>E227+E228+E230+E229</f>
        <v>0</v>
      </c>
      <c r="F226" s="6">
        <f>F227+F228+F230+F229</f>
        <v>1342.64648</v>
      </c>
      <c r="G226" s="5">
        <f>F226-L218</f>
        <v>1342.64648</v>
      </c>
      <c r="H226" s="68">
        <f t="shared" si="20"/>
        <v>-4704.87338</v>
      </c>
      <c r="I226" s="73">
        <f t="shared" si="21"/>
        <v>22.2016051386725</v>
      </c>
      <c r="J226" s="58"/>
      <c r="L226" s="29"/>
    </row>
    <row r="227" spans="1:12" ht="57.75" customHeight="1">
      <c r="A227" s="17"/>
      <c r="B227" s="64" t="s">
        <v>421</v>
      </c>
      <c r="C227" s="55" t="s">
        <v>53</v>
      </c>
      <c r="D227" s="6">
        <f>471.714+1136.37986</f>
        <v>1608.09386</v>
      </c>
      <c r="E227" s="6"/>
      <c r="F227" s="5">
        <f>550.38315+68.214</f>
        <v>618.59715</v>
      </c>
      <c r="G227" s="5"/>
      <c r="H227" s="68">
        <f t="shared" si="20"/>
        <v>-989.4967099999999</v>
      </c>
      <c r="I227" s="73">
        <f t="shared" si="21"/>
        <v>38.46772662884243</v>
      </c>
      <c r="J227" s="58"/>
      <c r="L227" s="29"/>
    </row>
    <row r="228" spans="1:12" ht="53.25" customHeight="1">
      <c r="A228" s="17"/>
      <c r="B228" s="64" t="s">
        <v>421</v>
      </c>
      <c r="C228" s="55" t="s">
        <v>54</v>
      </c>
      <c r="D228" s="6">
        <f>330+108.5</f>
        <v>438.5</v>
      </c>
      <c r="E228" s="6"/>
      <c r="F228" s="5">
        <f>319.669+74.38033</f>
        <v>394.04933</v>
      </c>
      <c r="G228" s="5"/>
      <c r="H228" s="68">
        <f t="shared" si="20"/>
        <v>-44.45067</v>
      </c>
      <c r="I228" s="73">
        <f t="shared" si="21"/>
        <v>89.86301710376283</v>
      </c>
      <c r="J228" s="58"/>
      <c r="L228" s="29"/>
    </row>
    <row r="229" spans="1:12" ht="84.75" customHeight="1">
      <c r="A229" s="17"/>
      <c r="B229" s="64" t="s">
        <v>421</v>
      </c>
      <c r="C229" s="63" t="s">
        <v>82</v>
      </c>
      <c r="D229" s="6">
        <v>4000.3</v>
      </c>
      <c r="E229" s="6"/>
      <c r="F229" s="5">
        <v>330</v>
      </c>
      <c r="G229" s="5"/>
      <c r="H229" s="68">
        <f t="shared" si="20"/>
        <v>-3670.3</v>
      </c>
      <c r="I229" s="73">
        <f t="shared" si="21"/>
        <v>8.249381296402769</v>
      </c>
      <c r="J229" s="58"/>
      <c r="L229" s="29"/>
    </row>
    <row r="230" spans="1:12" ht="60" customHeight="1">
      <c r="A230" s="17"/>
      <c r="B230" s="64" t="s">
        <v>206</v>
      </c>
      <c r="C230" s="55" t="s">
        <v>53</v>
      </c>
      <c r="D230" s="6">
        <v>0.626</v>
      </c>
      <c r="E230" s="6"/>
      <c r="F230" s="5">
        <v>0</v>
      </c>
      <c r="G230" s="5"/>
      <c r="H230" s="68">
        <f t="shared" si="20"/>
        <v>-0.626</v>
      </c>
      <c r="I230" s="73">
        <f t="shared" si="21"/>
        <v>0</v>
      </c>
      <c r="J230" s="58"/>
      <c r="L230" s="29"/>
    </row>
    <row r="231" spans="1:12" ht="47.25">
      <c r="A231" s="17"/>
      <c r="B231" s="64" t="s">
        <v>334</v>
      </c>
      <c r="C231" s="55" t="s">
        <v>55</v>
      </c>
      <c r="D231" s="6">
        <f>D232+D233+D234</f>
        <v>2374.0887000000002</v>
      </c>
      <c r="E231" s="6">
        <f>E232+E233+E234</f>
        <v>106</v>
      </c>
      <c r="F231" s="6">
        <f>F232+F233+F234</f>
        <v>867.0050699999999</v>
      </c>
      <c r="G231" s="5"/>
      <c r="H231" s="68">
        <f t="shared" si="20"/>
        <v>-1507.0836300000003</v>
      </c>
      <c r="I231" s="73">
        <f t="shared" si="21"/>
        <v>36.519489351851085</v>
      </c>
      <c r="J231" s="58"/>
      <c r="L231" s="29"/>
    </row>
    <row r="232" spans="1:12" ht="54.75" customHeight="1">
      <c r="A232" s="17"/>
      <c r="B232" s="64" t="s">
        <v>334</v>
      </c>
      <c r="C232" s="55" t="s">
        <v>405</v>
      </c>
      <c r="D232" s="6">
        <v>1586.631</v>
      </c>
      <c r="E232" s="6"/>
      <c r="F232" s="5">
        <v>575.40989</v>
      </c>
      <c r="G232" s="5"/>
      <c r="H232" s="68">
        <f t="shared" si="20"/>
        <v>-1011.2211100000001</v>
      </c>
      <c r="I232" s="73">
        <f t="shared" si="21"/>
        <v>36.26614442803651</v>
      </c>
      <c r="J232" s="58"/>
      <c r="L232" s="29"/>
    </row>
    <row r="233" spans="1:12" ht="47.25">
      <c r="A233" s="17"/>
      <c r="B233" s="64" t="s">
        <v>334</v>
      </c>
      <c r="C233" s="55" t="s">
        <v>406</v>
      </c>
      <c r="D233" s="6">
        <v>693.454</v>
      </c>
      <c r="E233" s="6"/>
      <c r="F233" s="5">
        <v>220.53937</v>
      </c>
      <c r="G233" s="5"/>
      <c r="H233" s="68">
        <f t="shared" si="20"/>
        <v>-472.91463</v>
      </c>
      <c r="I233" s="73">
        <f t="shared" si="21"/>
        <v>31.803028030698506</v>
      </c>
      <c r="J233" s="58"/>
      <c r="L233" s="29"/>
    </row>
    <row r="234" spans="1:12" ht="71.25" customHeight="1">
      <c r="A234" s="17"/>
      <c r="B234" s="64" t="s">
        <v>334</v>
      </c>
      <c r="C234" s="55" t="s">
        <v>36</v>
      </c>
      <c r="D234" s="6">
        <v>94.0037</v>
      </c>
      <c r="E234" s="6">
        <v>106</v>
      </c>
      <c r="F234" s="5">
        <v>71.05581</v>
      </c>
      <c r="G234" s="5" t="e">
        <f>F234-#REF!</f>
        <v>#REF!</v>
      </c>
      <c r="H234" s="68">
        <f t="shared" si="20"/>
        <v>-22.94789</v>
      </c>
      <c r="I234" s="73">
        <f t="shared" si="21"/>
        <v>75.58831194942327</v>
      </c>
      <c r="J234" s="58"/>
      <c r="L234" s="29"/>
    </row>
    <row r="235" spans="1:12" ht="31.5">
      <c r="A235" s="17"/>
      <c r="B235" s="64" t="s">
        <v>43</v>
      </c>
      <c r="C235" s="63" t="s">
        <v>197</v>
      </c>
      <c r="D235" s="6">
        <f>D236+D237+D238</f>
        <v>563.13947</v>
      </c>
      <c r="E235" s="6">
        <f>E236+E237+E238</f>
        <v>0</v>
      </c>
      <c r="F235" s="6">
        <f>F236+F237+F238</f>
        <v>498.24347</v>
      </c>
      <c r="G235" s="5"/>
      <c r="H235" s="68">
        <f t="shared" si="20"/>
        <v>-64.89599999999996</v>
      </c>
      <c r="I235" s="73">
        <f t="shared" si="21"/>
        <v>88.47603418741011</v>
      </c>
      <c r="J235" s="58"/>
      <c r="L235" s="29"/>
    </row>
    <row r="236" spans="1:12" ht="88.5" customHeight="1">
      <c r="A236" s="17"/>
      <c r="B236" s="48" t="s">
        <v>435</v>
      </c>
      <c r="C236" s="7" t="s">
        <v>67</v>
      </c>
      <c r="D236" s="1">
        <f>247.47-58</f>
        <v>189.47</v>
      </c>
      <c r="E236" s="6"/>
      <c r="F236" s="4">
        <v>129.47</v>
      </c>
      <c r="G236" s="5"/>
      <c r="H236" s="69">
        <f t="shared" si="20"/>
        <v>-60</v>
      </c>
      <c r="I236" s="70">
        <f t="shared" si="21"/>
        <v>68.33271758061962</v>
      </c>
      <c r="J236" s="58"/>
      <c r="L236" s="29"/>
    </row>
    <row r="237" spans="1:12" ht="47.25" hidden="1">
      <c r="A237" s="17"/>
      <c r="B237" s="48" t="s">
        <v>435</v>
      </c>
      <c r="C237" s="63" t="s">
        <v>69</v>
      </c>
      <c r="D237" s="1">
        <v>0</v>
      </c>
      <c r="E237" s="6"/>
      <c r="F237" s="4"/>
      <c r="G237" s="5"/>
      <c r="H237" s="69">
        <f t="shared" si="20"/>
        <v>0</v>
      </c>
      <c r="I237" s="70" t="e">
        <f t="shared" si="21"/>
        <v>#DIV/0!</v>
      </c>
      <c r="J237" s="58"/>
      <c r="L237" s="29"/>
    </row>
    <row r="238" spans="1:12" ht="47.25">
      <c r="A238" s="17"/>
      <c r="B238" s="48" t="s">
        <v>435</v>
      </c>
      <c r="C238" s="65" t="s">
        <v>73</v>
      </c>
      <c r="D238" s="1">
        <f>320.66947+53</f>
        <v>373.66947</v>
      </c>
      <c r="E238" s="6"/>
      <c r="F238" s="4">
        <v>368.77347</v>
      </c>
      <c r="G238" s="5"/>
      <c r="H238" s="69">
        <f t="shared" si="20"/>
        <v>-4.896000000000015</v>
      </c>
      <c r="I238" s="70">
        <f t="shared" si="21"/>
        <v>98.68975113219712</v>
      </c>
      <c r="J238" s="58"/>
      <c r="L238" s="29"/>
    </row>
    <row r="239" spans="1:12" ht="31.5">
      <c r="A239" s="17"/>
      <c r="B239" s="72" t="s">
        <v>465</v>
      </c>
      <c r="C239" s="55" t="s">
        <v>250</v>
      </c>
      <c r="D239" s="6">
        <f>D240+D241</f>
        <v>39</v>
      </c>
      <c r="E239" s="6">
        <f>E240+E241</f>
        <v>0</v>
      </c>
      <c r="F239" s="6">
        <f>F240+F241</f>
        <v>0</v>
      </c>
      <c r="G239" s="5"/>
      <c r="H239" s="68">
        <f t="shared" si="20"/>
        <v>-39</v>
      </c>
      <c r="I239" s="73">
        <f t="shared" si="21"/>
        <v>0</v>
      </c>
      <c r="J239" s="58"/>
      <c r="L239" s="29"/>
    </row>
    <row r="240" spans="1:12" ht="69" customHeight="1">
      <c r="A240" s="17"/>
      <c r="B240" s="72" t="s">
        <v>347</v>
      </c>
      <c r="C240" s="55" t="s">
        <v>252</v>
      </c>
      <c r="D240" s="6">
        <v>35.5</v>
      </c>
      <c r="E240" s="6"/>
      <c r="F240" s="6">
        <v>0</v>
      </c>
      <c r="G240" s="5"/>
      <c r="H240" s="68">
        <f t="shared" si="20"/>
        <v>-35.5</v>
      </c>
      <c r="I240" s="73">
        <f t="shared" si="21"/>
        <v>0</v>
      </c>
      <c r="J240" s="58"/>
      <c r="L240" s="29"/>
    </row>
    <row r="241" spans="1:12" ht="31.5">
      <c r="A241" s="17"/>
      <c r="B241" s="72" t="s">
        <v>339</v>
      </c>
      <c r="C241" s="55" t="s">
        <v>189</v>
      </c>
      <c r="D241" s="6">
        <v>3.5</v>
      </c>
      <c r="E241" s="6"/>
      <c r="F241" s="6">
        <v>0</v>
      </c>
      <c r="G241" s="5"/>
      <c r="H241" s="68">
        <f t="shared" si="20"/>
        <v>-3.5</v>
      </c>
      <c r="I241" s="73">
        <f t="shared" si="21"/>
        <v>0</v>
      </c>
      <c r="J241" s="58"/>
      <c r="L241" s="29"/>
    </row>
    <row r="242" spans="1:12" ht="31.5">
      <c r="A242" s="17"/>
      <c r="B242" s="72" t="s">
        <v>71</v>
      </c>
      <c r="C242" s="55" t="s">
        <v>253</v>
      </c>
      <c r="D242" s="6">
        <f>D243+D244</f>
        <v>220.03186</v>
      </c>
      <c r="E242" s="6">
        <f>E243+E244</f>
        <v>10</v>
      </c>
      <c r="F242" s="6">
        <f>F243+F244</f>
        <v>80.38144</v>
      </c>
      <c r="G242" s="5"/>
      <c r="H242" s="68">
        <f t="shared" si="20"/>
        <v>-139.65042</v>
      </c>
      <c r="I242" s="73">
        <f t="shared" si="21"/>
        <v>36.5317277234306</v>
      </c>
      <c r="J242" s="58"/>
      <c r="L242" s="29"/>
    </row>
    <row r="243" spans="1:12" ht="69.75" customHeight="1">
      <c r="A243" s="17"/>
      <c r="B243" s="49" t="s">
        <v>438</v>
      </c>
      <c r="C243" s="7" t="s">
        <v>37</v>
      </c>
      <c r="D243" s="1">
        <v>220.03186</v>
      </c>
      <c r="E243" s="6">
        <v>10</v>
      </c>
      <c r="F243" s="1">
        <v>80.38144</v>
      </c>
      <c r="G243" s="5" t="e">
        <f>F243-#REF!</f>
        <v>#REF!</v>
      </c>
      <c r="H243" s="69">
        <f t="shared" si="20"/>
        <v>-139.65042</v>
      </c>
      <c r="I243" s="70">
        <f t="shared" si="21"/>
        <v>36.5317277234306</v>
      </c>
      <c r="J243" s="58"/>
      <c r="L243" s="29"/>
    </row>
    <row r="244" spans="1:12" ht="63" hidden="1">
      <c r="A244" s="17"/>
      <c r="B244" s="49" t="s">
        <v>70</v>
      </c>
      <c r="C244" s="7" t="s">
        <v>37</v>
      </c>
      <c r="D244" s="1">
        <v>0</v>
      </c>
      <c r="E244" s="6"/>
      <c r="F244" s="1"/>
      <c r="G244" s="5"/>
      <c r="H244" s="69">
        <f t="shared" si="20"/>
        <v>0</v>
      </c>
      <c r="I244" s="70" t="e">
        <f t="shared" si="21"/>
        <v>#DIV/0!</v>
      </c>
      <c r="J244" s="58"/>
      <c r="L244" s="29"/>
    </row>
    <row r="245" spans="1:12" ht="15.75">
      <c r="A245" s="17"/>
      <c r="B245" s="72" t="s">
        <v>479</v>
      </c>
      <c r="C245" s="55" t="s">
        <v>254</v>
      </c>
      <c r="D245" s="6">
        <f>D246+D250+D247+D249+D248</f>
        <v>225.90541</v>
      </c>
      <c r="E245" s="6">
        <f>E246+E250+E247+E249+E248</f>
        <v>0</v>
      </c>
      <c r="F245" s="6">
        <f>F246+F250+F247+F249+F248</f>
        <v>179.34041</v>
      </c>
      <c r="G245" s="5"/>
      <c r="H245" s="68">
        <f t="shared" si="20"/>
        <v>-46.565</v>
      </c>
      <c r="I245" s="73">
        <f t="shared" si="21"/>
        <v>79.38739050118366</v>
      </c>
      <c r="J245" s="58"/>
      <c r="L245" s="29"/>
    </row>
    <row r="246" spans="1:12" ht="47.25">
      <c r="A246" s="17"/>
      <c r="B246" s="49" t="s">
        <v>479</v>
      </c>
      <c r="C246" s="7" t="s">
        <v>255</v>
      </c>
      <c r="D246" s="1">
        <v>130.05701</v>
      </c>
      <c r="E246" s="6"/>
      <c r="F246" s="1">
        <v>130.05701</v>
      </c>
      <c r="G246" s="5"/>
      <c r="H246" s="69">
        <f t="shared" si="20"/>
        <v>0</v>
      </c>
      <c r="I246" s="70">
        <f t="shared" si="21"/>
        <v>100</v>
      </c>
      <c r="J246" s="58"/>
      <c r="L246" s="29"/>
    </row>
    <row r="247" spans="1:12" ht="31.5">
      <c r="A247" s="17"/>
      <c r="B247" s="49" t="s">
        <v>479</v>
      </c>
      <c r="C247" s="7" t="s">
        <v>256</v>
      </c>
      <c r="D247" s="1">
        <v>11.9484</v>
      </c>
      <c r="E247" s="6"/>
      <c r="F247" s="1">
        <v>11.9484</v>
      </c>
      <c r="G247" s="5"/>
      <c r="H247" s="69">
        <f t="shared" si="20"/>
        <v>0</v>
      </c>
      <c r="I247" s="70">
        <f t="shared" si="21"/>
        <v>100</v>
      </c>
      <c r="J247" s="58"/>
      <c r="L247" s="29"/>
    </row>
    <row r="248" spans="1:12" ht="31.5">
      <c r="A248" s="17"/>
      <c r="B248" s="49" t="s">
        <v>479</v>
      </c>
      <c r="C248" s="7" t="s">
        <v>190</v>
      </c>
      <c r="D248" s="1">
        <v>32.9</v>
      </c>
      <c r="E248" s="6"/>
      <c r="F248" s="1">
        <v>0</v>
      </c>
      <c r="G248" s="5"/>
      <c r="H248" s="69">
        <f t="shared" si="20"/>
        <v>-32.9</v>
      </c>
      <c r="I248" s="70">
        <f t="shared" si="21"/>
        <v>0</v>
      </c>
      <c r="J248" s="58"/>
      <c r="L248" s="29"/>
    </row>
    <row r="249" spans="1:12" ht="31.5">
      <c r="A249" s="17"/>
      <c r="B249" s="49" t="s">
        <v>479</v>
      </c>
      <c r="C249" s="7" t="s">
        <v>257</v>
      </c>
      <c r="D249" s="1">
        <v>51</v>
      </c>
      <c r="E249" s="6"/>
      <c r="F249" s="1">
        <v>37.335</v>
      </c>
      <c r="G249" s="5"/>
      <c r="H249" s="69">
        <f t="shared" si="20"/>
        <v>-13.665</v>
      </c>
      <c r="I249" s="70">
        <f t="shared" si="21"/>
        <v>73.20588235294117</v>
      </c>
      <c r="J249" s="58"/>
      <c r="L249" s="29"/>
    </row>
    <row r="250" spans="1:12" ht="31.5" hidden="1">
      <c r="A250" s="17"/>
      <c r="B250" s="49" t="s">
        <v>479</v>
      </c>
      <c r="C250" s="7" t="s">
        <v>258</v>
      </c>
      <c r="D250" s="1"/>
      <c r="E250" s="6"/>
      <c r="F250" s="1"/>
      <c r="G250" s="5"/>
      <c r="H250" s="69">
        <f aca="true" t="shared" si="22" ref="H250:H281">F250-D250</f>
        <v>0</v>
      </c>
      <c r="I250" s="70" t="e">
        <f aca="true" t="shared" si="23" ref="I250:I281">F250/D250*100</f>
        <v>#DIV/0!</v>
      </c>
      <c r="J250" s="58"/>
      <c r="L250" s="29"/>
    </row>
    <row r="251" spans="1:12" ht="15.75">
      <c r="A251" s="17"/>
      <c r="B251" s="72" t="s">
        <v>466</v>
      </c>
      <c r="C251" s="55" t="s">
        <v>259</v>
      </c>
      <c r="D251" s="6">
        <f>D252+D259+D253+D256+D257+D258+D254+D255</f>
        <v>391.7900000000004</v>
      </c>
      <c r="E251" s="6">
        <f>E252+E259+E253+E256+E257+E258+E254+E255</f>
        <v>0</v>
      </c>
      <c r="F251" s="6">
        <f>F252+F259+F253+F256+F257+F258+F254+F255</f>
        <v>274.38</v>
      </c>
      <c r="G251" s="5"/>
      <c r="H251" s="68">
        <f t="shared" si="22"/>
        <v>-117.41000000000042</v>
      </c>
      <c r="I251" s="73">
        <f t="shared" si="23"/>
        <v>70.03241532453602</v>
      </c>
      <c r="J251" s="58"/>
      <c r="L251" s="29"/>
    </row>
    <row r="252" spans="1:12" ht="63">
      <c r="A252" s="17" t="s">
        <v>318</v>
      </c>
      <c r="B252" s="48" t="s">
        <v>467</v>
      </c>
      <c r="C252" s="3" t="s">
        <v>191</v>
      </c>
      <c r="D252" s="12">
        <v>250</v>
      </c>
      <c r="E252" s="13"/>
      <c r="F252" s="4">
        <v>250</v>
      </c>
      <c r="G252" s="5"/>
      <c r="H252" s="69">
        <f t="shared" si="22"/>
        <v>0</v>
      </c>
      <c r="I252" s="70">
        <f t="shared" si="23"/>
        <v>100</v>
      </c>
      <c r="J252" s="58"/>
      <c r="L252" s="29"/>
    </row>
    <row r="253" spans="1:12" ht="83.25" customHeight="1">
      <c r="A253" s="22"/>
      <c r="B253" s="49" t="s">
        <v>467</v>
      </c>
      <c r="C253" s="3" t="s">
        <v>278</v>
      </c>
      <c r="D253" s="1">
        <v>110</v>
      </c>
      <c r="E253" s="6"/>
      <c r="F253" s="1">
        <v>0</v>
      </c>
      <c r="G253" s="5"/>
      <c r="H253" s="69">
        <f t="shared" si="22"/>
        <v>-110</v>
      </c>
      <c r="I253" s="70">
        <f t="shared" si="23"/>
        <v>0</v>
      </c>
      <c r="J253" s="2"/>
      <c r="L253" s="40"/>
    </row>
    <row r="254" spans="1:12" ht="63">
      <c r="A254" s="22"/>
      <c r="B254" s="49" t="s">
        <v>467</v>
      </c>
      <c r="C254" s="3" t="s">
        <v>279</v>
      </c>
      <c r="D254" s="1">
        <v>0</v>
      </c>
      <c r="E254" s="6"/>
      <c r="F254" s="1">
        <v>0</v>
      </c>
      <c r="G254" s="5"/>
      <c r="H254" s="69">
        <f t="shared" si="22"/>
        <v>0</v>
      </c>
      <c r="I254" s="70" t="e">
        <f t="shared" si="23"/>
        <v>#DIV/0!</v>
      </c>
      <c r="J254" s="2"/>
      <c r="L254" s="40"/>
    </row>
    <row r="255" spans="1:12" ht="83.25" customHeight="1">
      <c r="A255" s="22"/>
      <c r="B255" s="49" t="s">
        <v>467</v>
      </c>
      <c r="C255" s="3" t="s">
        <v>185</v>
      </c>
      <c r="D255" s="1">
        <v>9.1</v>
      </c>
      <c r="E255" s="6"/>
      <c r="F255" s="1">
        <v>0</v>
      </c>
      <c r="G255" s="5"/>
      <c r="H255" s="69">
        <f t="shared" si="22"/>
        <v>-9.1</v>
      </c>
      <c r="I255" s="70">
        <f t="shared" si="23"/>
        <v>0</v>
      </c>
      <c r="J255" s="2"/>
      <c r="L255" s="40"/>
    </row>
    <row r="256" spans="1:12" ht="78.75">
      <c r="A256" s="22"/>
      <c r="B256" s="49" t="s">
        <v>467</v>
      </c>
      <c r="C256" s="55" t="s">
        <v>274</v>
      </c>
      <c r="D256" s="1">
        <v>3.69</v>
      </c>
      <c r="E256" s="6"/>
      <c r="F256" s="1">
        <v>3.69</v>
      </c>
      <c r="G256" s="5"/>
      <c r="H256" s="69">
        <f t="shared" si="22"/>
        <v>0</v>
      </c>
      <c r="I256" s="70">
        <f t="shared" si="23"/>
        <v>100</v>
      </c>
      <c r="J256" s="2"/>
      <c r="L256" s="40"/>
    </row>
    <row r="257" spans="1:12" ht="0.75" customHeight="1" hidden="1">
      <c r="A257" s="22"/>
      <c r="B257" s="49" t="s">
        <v>467</v>
      </c>
      <c r="C257" s="55" t="s">
        <v>275</v>
      </c>
      <c r="D257" s="1"/>
      <c r="E257" s="6"/>
      <c r="F257" s="1"/>
      <c r="G257" s="5"/>
      <c r="H257" s="69">
        <f t="shared" si="22"/>
        <v>0</v>
      </c>
      <c r="I257" s="70" t="e">
        <f t="shared" si="23"/>
        <v>#DIV/0!</v>
      </c>
      <c r="J257" s="2"/>
      <c r="L257" s="40"/>
    </row>
    <row r="258" spans="1:12" ht="78" customHeight="1">
      <c r="A258" s="22"/>
      <c r="B258" s="49" t="s">
        <v>467</v>
      </c>
      <c r="C258" s="47" t="s">
        <v>186</v>
      </c>
      <c r="D258" s="1">
        <v>19</v>
      </c>
      <c r="E258" s="6"/>
      <c r="F258" s="1">
        <v>20.69</v>
      </c>
      <c r="G258" s="5"/>
      <c r="H258" s="69">
        <f t="shared" si="22"/>
        <v>1.6900000000000013</v>
      </c>
      <c r="I258" s="70">
        <f t="shared" si="23"/>
        <v>108.89473684210526</v>
      </c>
      <c r="J258" s="2"/>
      <c r="L258" s="40"/>
    </row>
    <row r="259" spans="1:12" ht="63" hidden="1">
      <c r="A259" s="22" t="s">
        <v>308</v>
      </c>
      <c r="B259" s="72" t="s">
        <v>72</v>
      </c>
      <c r="C259" s="74" t="s">
        <v>74</v>
      </c>
      <c r="D259" s="6">
        <f>4444.8-4246.99-197.81</f>
        <v>3.979039320256561E-13</v>
      </c>
      <c r="E259" s="6"/>
      <c r="F259" s="6">
        <v>0</v>
      </c>
      <c r="G259" s="5"/>
      <c r="H259" s="68">
        <f t="shared" si="22"/>
        <v>-3.979039320256561E-13</v>
      </c>
      <c r="I259" s="73">
        <f t="shared" si="23"/>
        <v>0</v>
      </c>
      <c r="J259" s="2"/>
      <c r="L259" s="40"/>
    </row>
    <row r="260" spans="1:12" s="28" customFormat="1" ht="15.75">
      <c r="A260" s="91"/>
      <c r="B260" s="91"/>
      <c r="C260" s="80" t="s">
        <v>474</v>
      </c>
      <c r="D260" s="71">
        <f>D262+D264+D270+D273+D277</f>
        <v>4039.374950000001</v>
      </c>
      <c r="E260" s="71">
        <f>E262+E264+E270+E273+E277</f>
        <v>19</v>
      </c>
      <c r="F260" s="71">
        <f>F262+F264+F270+F273+F277</f>
        <v>1846.21667</v>
      </c>
      <c r="G260" s="71" t="e">
        <f>#REF!+#REF!+#REF!+#REF!+#REF!+#REF!+#REF!+#REF!</f>
        <v>#REF!</v>
      </c>
      <c r="H260" s="68">
        <f t="shared" si="22"/>
        <v>-2193.1582800000006</v>
      </c>
      <c r="I260" s="73">
        <f t="shared" si="23"/>
        <v>45.705503768596664</v>
      </c>
      <c r="J260" s="59"/>
      <c r="L260" s="105"/>
    </row>
    <row r="261" spans="1:12" ht="15.75" hidden="1">
      <c r="A261" s="27" t="s">
        <v>295</v>
      </c>
      <c r="B261" s="64" t="s">
        <v>296</v>
      </c>
      <c r="C261" s="80" t="s">
        <v>392</v>
      </c>
      <c r="D261" s="71"/>
      <c r="E261" s="71"/>
      <c r="F261" s="71"/>
      <c r="G261" s="71"/>
      <c r="H261" s="68">
        <f t="shared" si="22"/>
        <v>0</v>
      </c>
      <c r="I261" s="73" t="e">
        <f t="shared" si="23"/>
        <v>#DIV/0!</v>
      </c>
      <c r="J261" s="2"/>
      <c r="L261" s="40"/>
    </row>
    <row r="262" spans="1:12" ht="20.25" customHeight="1">
      <c r="A262" s="27" t="s">
        <v>295</v>
      </c>
      <c r="B262" s="64" t="s">
        <v>296</v>
      </c>
      <c r="C262" s="74" t="s">
        <v>38</v>
      </c>
      <c r="D262" s="71">
        <v>75.8022</v>
      </c>
      <c r="E262" s="71"/>
      <c r="F262" s="71">
        <v>40.3022</v>
      </c>
      <c r="G262" s="71"/>
      <c r="H262" s="68">
        <f t="shared" si="22"/>
        <v>-35.5</v>
      </c>
      <c r="I262" s="73">
        <f t="shared" si="23"/>
        <v>53.16758616504534</v>
      </c>
      <c r="J262" s="2"/>
      <c r="L262" s="40"/>
    </row>
    <row r="263" spans="1:12" ht="13.5" customHeight="1" hidden="1">
      <c r="A263" s="27" t="s">
        <v>295</v>
      </c>
      <c r="B263" s="64" t="s">
        <v>296</v>
      </c>
      <c r="C263" s="55" t="s">
        <v>473</v>
      </c>
      <c r="D263" s="71">
        <v>0</v>
      </c>
      <c r="E263" s="71"/>
      <c r="F263" s="71"/>
      <c r="G263" s="71"/>
      <c r="H263" s="68">
        <f t="shared" si="22"/>
        <v>0</v>
      </c>
      <c r="I263" s="73" t="e">
        <f t="shared" si="23"/>
        <v>#DIV/0!</v>
      </c>
      <c r="J263" s="2"/>
      <c r="L263" s="40"/>
    </row>
    <row r="264" spans="1:12" ht="15.75">
      <c r="A264" s="17" t="s">
        <v>297</v>
      </c>
      <c r="B264" s="64" t="s">
        <v>298</v>
      </c>
      <c r="C264" s="74" t="s">
        <v>264</v>
      </c>
      <c r="D264" s="71">
        <f>D265+D266+D267+D268+D269</f>
        <v>3782.4027500000007</v>
      </c>
      <c r="E264" s="71">
        <f>E265+E266+E267+E268+E269</f>
        <v>0</v>
      </c>
      <c r="F264" s="71">
        <f>F265+F266+F267+F268+F269</f>
        <v>1726.0207899999998</v>
      </c>
      <c r="G264" s="71"/>
      <c r="H264" s="68">
        <f t="shared" si="22"/>
        <v>-2056.3819600000006</v>
      </c>
      <c r="I264" s="73">
        <f t="shared" si="23"/>
        <v>45.632919180803775</v>
      </c>
      <c r="J264" s="2"/>
      <c r="L264" s="40"/>
    </row>
    <row r="265" spans="1:12" ht="15.75">
      <c r="A265" s="17"/>
      <c r="B265" s="64" t="s">
        <v>356</v>
      </c>
      <c r="C265" s="63" t="s">
        <v>45</v>
      </c>
      <c r="D265" s="71">
        <v>2108.64465</v>
      </c>
      <c r="E265" s="71"/>
      <c r="F265" s="71">
        <v>806.3122</v>
      </c>
      <c r="G265" s="71"/>
      <c r="H265" s="68">
        <f t="shared" si="22"/>
        <v>-1302.3324500000003</v>
      </c>
      <c r="I265" s="73">
        <f t="shared" si="23"/>
        <v>38.23841063025958</v>
      </c>
      <c r="J265" s="2"/>
      <c r="L265" s="40"/>
    </row>
    <row r="266" spans="1:12" ht="15.75">
      <c r="A266" s="17"/>
      <c r="B266" s="64" t="s">
        <v>358</v>
      </c>
      <c r="C266" s="63" t="s">
        <v>44</v>
      </c>
      <c r="D266" s="71">
        <v>1646.7231</v>
      </c>
      <c r="E266" s="71"/>
      <c r="F266" s="71">
        <v>903.73659</v>
      </c>
      <c r="G266" s="71"/>
      <c r="H266" s="68">
        <f t="shared" si="22"/>
        <v>-742.98651</v>
      </c>
      <c r="I266" s="73">
        <f t="shared" si="23"/>
        <v>54.880908028799745</v>
      </c>
      <c r="J266" s="2"/>
      <c r="L266" s="40"/>
    </row>
    <row r="267" spans="1:12" ht="15.75">
      <c r="A267" s="17"/>
      <c r="B267" s="64" t="s">
        <v>360</v>
      </c>
      <c r="C267" s="74" t="s">
        <v>395</v>
      </c>
      <c r="D267" s="71">
        <v>17.684</v>
      </c>
      <c r="E267" s="71"/>
      <c r="F267" s="71">
        <v>9.018</v>
      </c>
      <c r="G267" s="71"/>
      <c r="H267" s="68">
        <f t="shared" si="22"/>
        <v>-8.666</v>
      </c>
      <c r="I267" s="73">
        <f t="shared" si="23"/>
        <v>50.995249943451704</v>
      </c>
      <c r="J267" s="2"/>
      <c r="L267" s="40"/>
    </row>
    <row r="268" spans="1:12" ht="31.5">
      <c r="A268" s="17"/>
      <c r="B268" s="64" t="s">
        <v>377</v>
      </c>
      <c r="C268" s="74" t="s">
        <v>398</v>
      </c>
      <c r="D268" s="71">
        <v>9.351</v>
      </c>
      <c r="E268" s="71"/>
      <c r="F268" s="71">
        <v>6.954</v>
      </c>
      <c r="G268" s="71"/>
      <c r="H268" s="68">
        <f t="shared" si="22"/>
        <v>-2.397000000000001</v>
      </c>
      <c r="I268" s="73">
        <f t="shared" si="23"/>
        <v>74.36637792749437</v>
      </c>
      <c r="J268" s="2"/>
      <c r="L268" s="40"/>
    </row>
    <row r="269" spans="1:12" ht="20.25" customHeight="1" hidden="1">
      <c r="A269" s="17"/>
      <c r="B269" s="64" t="s">
        <v>372</v>
      </c>
      <c r="C269" s="74" t="s">
        <v>399</v>
      </c>
      <c r="D269" s="71"/>
      <c r="E269" s="71"/>
      <c r="F269" s="71"/>
      <c r="G269" s="71"/>
      <c r="H269" s="68">
        <f t="shared" si="22"/>
        <v>0</v>
      </c>
      <c r="I269" s="73" t="e">
        <f t="shared" si="23"/>
        <v>#DIV/0!</v>
      </c>
      <c r="J269" s="2"/>
      <c r="L269" s="40"/>
    </row>
    <row r="270" spans="1:12" ht="15.75">
      <c r="A270" s="17"/>
      <c r="B270" s="64" t="s">
        <v>300</v>
      </c>
      <c r="C270" s="74" t="s">
        <v>265</v>
      </c>
      <c r="D270" s="71">
        <f>D271+D272</f>
        <v>45.3</v>
      </c>
      <c r="E270" s="71">
        <f>E271+E272</f>
        <v>19</v>
      </c>
      <c r="F270" s="71">
        <f>F271+F272</f>
        <v>12.43098</v>
      </c>
      <c r="G270" s="71"/>
      <c r="H270" s="68">
        <f t="shared" si="22"/>
        <v>-32.86902</v>
      </c>
      <c r="I270" s="73">
        <f t="shared" si="23"/>
        <v>27.441456953642383</v>
      </c>
      <c r="J270" s="2"/>
      <c r="L270" s="40"/>
    </row>
    <row r="271" spans="1:12" ht="63" hidden="1">
      <c r="A271" s="17"/>
      <c r="B271" s="48" t="s">
        <v>19</v>
      </c>
      <c r="C271" s="7" t="s">
        <v>238</v>
      </c>
      <c r="D271" s="1"/>
      <c r="E271" s="15"/>
      <c r="F271" s="4"/>
      <c r="G271" s="5"/>
      <c r="H271" s="69">
        <f t="shared" si="22"/>
        <v>0</v>
      </c>
      <c r="I271" s="70" t="e">
        <f t="shared" si="23"/>
        <v>#DIV/0!</v>
      </c>
      <c r="J271" s="2"/>
      <c r="L271" s="40"/>
    </row>
    <row r="272" spans="1:12" ht="63">
      <c r="A272" s="27" t="s">
        <v>311</v>
      </c>
      <c r="B272" s="48" t="s">
        <v>312</v>
      </c>
      <c r="C272" s="18" t="s">
        <v>34</v>
      </c>
      <c r="D272" s="15">
        <v>45.3</v>
      </c>
      <c r="E272" s="15">
        <v>19</v>
      </c>
      <c r="F272" s="4">
        <v>12.43098</v>
      </c>
      <c r="G272" s="5">
        <f>F272-L264</f>
        <v>12.43098</v>
      </c>
      <c r="H272" s="69">
        <f t="shared" si="22"/>
        <v>-32.86902</v>
      </c>
      <c r="I272" s="70">
        <f t="shared" si="23"/>
        <v>27.441456953642383</v>
      </c>
      <c r="J272" s="2"/>
      <c r="L272" s="40"/>
    </row>
    <row r="273" spans="1:12" ht="15.75">
      <c r="A273" s="19" t="s">
        <v>322</v>
      </c>
      <c r="B273" s="72" t="s">
        <v>335</v>
      </c>
      <c r="C273" s="55" t="s">
        <v>266</v>
      </c>
      <c r="D273" s="71">
        <f>D274+D275+D276</f>
        <v>135.1</v>
      </c>
      <c r="E273" s="71">
        <f>E274+E275+E276</f>
        <v>0</v>
      </c>
      <c r="F273" s="71">
        <f>F274+F275+F276</f>
        <v>66.6927</v>
      </c>
      <c r="G273" s="71"/>
      <c r="H273" s="68">
        <f t="shared" si="22"/>
        <v>-68.40729999999999</v>
      </c>
      <c r="I273" s="73">
        <f t="shared" si="23"/>
        <v>49.365433012583274</v>
      </c>
      <c r="J273" s="2"/>
      <c r="L273" s="40"/>
    </row>
    <row r="274" spans="1:12" ht="22.5" customHeight="1" hidden="1">
      <c r="A274" s="19"/>
      <c r="B274" s="49" t="s">
        <v>445</v>
      </c>
      <c r="C274" s="24" t="s">
        <v>244</v>
      </c>
      <c r="D274" s="12"/>
      <c r="E274" s="12"/>
      <c r="F274" s="12"/>
      <c r="G274" s="12"/>
      <c r="H274" s="69">
        <f t="shared" si="22"/>
        <v>0</v>
      </c>
      <c r="I274" s="70" t="e">
        <f t="shared" si="23"/>
        <v>#DIV/0!</v>
      </c>
      <c r="J274" s="2"/>
      <c r="L274" s="40"/>
    </row>
    <row r="275" spans="1:12" ht="13.5" customHeight="1" hidden="1">
      <c r="A275" s="19"/>
      <c r="B275" s="49" t="s">
        <v>288</v>
      </c>
      <c r="C275" s="24" t="s">
        <v>268</v>
      </c>
      <c r="D275" s="12"/>
      <c r="E275" s="12"/>
      <c r="F275" s="12"/>
      <c r="G275" s="12"/>
      <c r="H275" s="69">
        <f t="shared" si="22"/>
        <v>0</v>
      </c>
      <c r="I275" s="70" t="e">
        <f t="shared" si="23"/>
        <v>#DIV/0!</v>
      </c>
      <c r="J275" s="2"/>
      <c r="L275" s="40"/>
    </row>
    <row r="276" spans="1:12" ht="15.75">
      <c r="A276" s="19"/>
      <c r="B276" s="49" t="s">
        <v>446</v>
      </c>
      <c r="C276" s="99" t="s">
        <v>267</v>
      </c>
      <c r="D276" s="12">
        <v>135.1</v>
      </c>
      <c r="E276" s="12"/>
      <c r="F276" s="12">
        <v>66.6927</v>
      </c>
      <c r="G276" s="12"/>
      <c r="H276" s="69">
        <f t="shared" si="22"/>
        <v>-68.40729999999999</v>
      </c>
      <c r="I276" s="70">
        <f t="shared" si="23"/>
        <v>49.365433012583274</v>
      </c>
      <c r="J276" s="2"/>
      <c r="L276" s="40"/>
    </row>
    <row r="277" spans="1:12" ht="30.75" customHeight="1">
      <c r="A277" s="19"/>
      <c r="B277" s="72" t="s">
        <v>324</v>
      </c>
      <c r="C277" s="3" t="s">
        <v>247</v>
      </c>
      <c r="D277" s="71">
        <f>D278</f>
        <v>0.77</v>
      </c>
      <c r="E277" s="71">
        <f>E278</f>
        <v>0</v>
      </c>
      <c r="F277" s="71">
        <f>F278</f>
        <v>0.77</v>
      </c>
      <c r="G277" s="71"/>
      <c r="H277" s="68">
        <f t="shared" si="22"/>
        <v>0</v>
      </c>
      <c r="I277" s="73">
        <f t="shared" si="23"/>
        <v>100</v>
      </c>
      <c r="J277" s="2"/>
      <c r="L277" s="40"/>
    </row>
    <row r="278" spans="1:12" ht="31.5">
      <c r="A278" s="19"/>
      <c r="B278" s="72" t="s">
        <v>325</v>
      </c>
      <c r="C278" s="3" t="s">
        <v>39</v>
      </c>
      <c r="D278" s="71">
        <v>0.77</v>
      </c>
      <c r="E278" s="71"/>
      <c r="F278" s="71">
        <v>0.77</v>
      </c>
      <c r="G278" s="71"/>
      <c r="H278" s="68">
        <f t="shared" si="22"/>
        <v>0</v>
      </c>
      <c r="I278" s="73">
        <f t="shared" si="23"/>
        <v>100</v>
      </c>
      <c r="J278" s="2"/>
      <c r="L278" s="40"/>
    </row>
    <row r="279" spans="1:12" s="28" customFormat="1" ht="15.75">
      <c r="A279" s="97"/>
      <c r="B279" s="64"/>
      <c r="C279" s="80" t="s">
        <v>476</v>
      </c>
      <c r="D279" s="71">
        <f>D280+D281+D288+D293+D294+D300</f>
        <v>370.55170000000004</v>
      </c>
      <c r="E279" s="71">
        <f>E280+E281+E288+E293+E294+E300</f>
        <v>20.700000000000003</v>
      </c>
      <c r="F279" s="71">
        <f>F280+F281+F288+F293+F294+F300</f>
        <v>361.11404000000005</v>
      </c>
      <c r="G279" s="71"/>
      <c r="H279" s="68">
        <f t="shared" si="22"/>
        <v>-9.437659999999994</v>
      </c>
      <c r="I279" s="73">
        <f t="shared" si="23"/>
        <v>97.45307874717616</v>
      </c>
      <c r="J279" s="59"/>
      <c r="L279" s="105"/>
    </row>
    <row r="280" spans="1:12" ht="24" customHeight="1" hidden="1">
      <c r="A280" s="27"/>
      <c r="B280" s="64" t="s">
        <v>296</v>
      </c>
      <c r="C280" s="80" t="s">
        <v>89</v>
      </c>
      <c r="D280" s="71"/>
      <c r="E280" s="71"/>
      <c r="F280" s="71"/>
      <c r="G280" s="71"/>
      <c r="H280" s="68">
        <f t="shared" si="22"/>
        <v>0</v>
      </c>
      <c r="I280" s="73" t="e">
        <f t="shared" si="23"/>
        <v>#DIV/0!</v>
      </c>
      <c r="J280" s="2"/>
      <c r="L280" s="40"/>
    </row>
    <row r="281" spans="1:12" ht="15.75">
      <c r="A281" s="17" t="s">
        <v>297</v>
      </c>
      <c r="B281" s="64" t="s">
        <v>298</v>
      </c>
      <c r="C281" s="74" t="s">
        <v>264</v>
      </c>
      <c r="D281" s="71">
        <f>D282+D283+D284+D285+D287+D286</f>
        <v>348.94033</v>
      </c>
      <c r="E281" s="71">
        <f>E282+E283+E284+E285+E287+E286</f>
        <v>0</v>
      </c>
      <c r="F281" s="71">
        <f>F282+F283+F284+F285+F287+F286</f>
        <v>339.50267</v>
      </c>
      <c r="G281" s="71"/>
      <c r="H281" s="68">
        <f t="shared" si="22"/>
        <v>-9.437659999999994</v>
      </c>
      <c r="I281" s="73">
        <f t="shared" si="23"/>
        <v>97.29533699930873</v>
      </c>
      <c r="J281" s="2"/>
      <c r="L281" s="40"/>
    </row>
    <row r="282" spans="1:12" ht="15.75">
      <c r="A282" s="17"/>
      <c r="B282" s="48" t="s">
        <v>356</v>
      </c>
      <c r="C282" s="20" t="s">
        <v>45</v>
      </c>
      <c r="D282" s="12">
        <v>191.84318</v>
      </c>
      <c r="E282" s="12"/>
      <c r="F282" s="12">
        <v>187.45818</v>
      </c>
      <c r="G282" s="12"/>
      <c r="H282" s="69">
        <f aca="true" t="shared" si="24" ref="H282:H302">F282-D282</f>
        <v>-4.384999999999991</v>
      </c>
      <c r="I282" s="70">
        <f aca="true" t="shared" si="25" ref="I282:I302">F282/D282*100</f>
        <v>97.71427892302454</v>
      </c>
      <c r="J282" s="2"/>
      <c r="L282" s="40"/>
    </row>
    <row r="283" spans="1:12" ht="15.75">
      <c r="A283" s="17"/>
      <c r="B283" s="48" t="s">
        <v>358</v>
      </c>
      <c r="C283" s="20" t="s">
        <v>44</v>
      </c>
      <c r="D283" s="12">
        <v>150.9503</v>
      </c>
      <c r="E283" s="12"/>
      <c r="F283" s="12">
        <v>145.89764</v>
      </c>
      <c r="G283" s="12"/>
      <c r="H283" s="69">
        <f t="shared" si="24"/>
        <v>-5.052660000000003</v>
      </c>
      <c r="I283" s="70">
        <f t="shared" si="25"/>
        <v>96.6527658441222</v>
      </c>
      <c r="J283" s="2"/>
      <c r="L283" s="40"/>
    </row>
    <row r="284" spans="1:12" ht="15.75">
      <c r="A284" s="17"/>
      <c r="B284" s="48" t="s">
        <v>360</v>
      </c>
      <c r="C284" s="18" t="s">
        <v>395</v>
      </c>
      <c r="D284" s="12">
        <v>6.00285</v>
      </c>
      <c r="E284" s="12"/>
      <c r="F284" s="12">
        <v>6.00285</v>
      </c>
      <c r="G284" s="12"/>
      <c r="H284" s="69">
        <f t="shared" si="24"/>
        <v>0</v>
      </c>
      <c r="I284" s="70">
        <f t="shared" si="25"/>
        <v>100</v>
      </c>
      <c r="J284" s="2"/>
      <c r="L284" s="40"/>
    </row>
    <row r="285" spans="1:12" ht="15" customHeight="1">
      <c r="A285" s="17"/>
      <c r="B285" s="48" t="s">
        <v>375</v>
      </c>
      <c r="C285" s="18" t="s">
        <v>46</v>
      </c>
      <c r="D285" s="12">
        <v>0.144</v>
      </c>
      <c r="E285" s="12"/>
      <c r="F285" s="12">
        <v>0.144</v>
      </c>
      <c r="G285" s="12"/>
      <c r="H285" s="69">
        <f t="shared" si="24"/>
        <v>0</v>
      </c>
      <c r="I285" s="70">
        <f t="shared" si="25"/>
        <v>100</v>
      </c>
      <c r="J285" s="2"/>
      <c r="L285" s="40"/>
    </row>
    <row r="286" spans="1:12" ht="31.5" hidden="1">
      <c r="A286" s="17"/>
      <c r="B286" s="48" t="s">
        <v>377</v>
      </c>
      <c r="C286" s="18" t="s">
        <v>398</v>
      </c>
      <c r="D286" s="12"/>
      <c r="E286" s="12"/>
      <c r="F286" s="12"/>
      <c r="G286" s="12"/>
      <c r="H286" s="69">
        <f t="shared" si="24"/>
        <v>0</v>
      </c>
      <c r="I286" s="70" t="e">
        <f t="shared" si="25"/>
        <v>#DIV/0!</v>
      </c>
      <c r="J286" s="2"/>
      <c r="L286" s="40"/>
    </row>
    <row r="287" spans="1:12" ht="31.5" hidden="1">
      <c r="A287" s="17"/>
      <c r="B287" s="48" t="s">
        <v>372</v>
      </c>
      <c r="C287" s="18" t="s">
        <v>399</v>
      </c>
      <c r="D287" s="12"/>
      <c r="E287" s="12"/>
      <c r="F287" s="12"/>
      <c r="G287" s="12"/>
      <c r="H287" s="69">
        <f t="shared" si="24"/>
        <v>0</v>
      </c>
      <c r="I287" s="70" t="e">
        <f t="shared" si="25"/>
        <v>#DIV/0!</v>
      </c>
      <c r="J287" s="2"/>
      <c r="L287" s="40"/>
    </row>
    <row r="288" spans="1:12" ht="15.75">
      <c r="A288" s="17"/>
      <c r="B288" s="64" t="s">
        <v>300</v>
      </c>
      <c r="C288" s="74" t="s">
        <v>265</v>
      </c>
      <c r="D288" s="71">
        <f>D289+D290+D291+D292</f>
        <v>0.05</v>
      </c>
      <c r="E288" s="71">
        <f>E289+E290+E291+E292</f>
        <v>0</v>
      </c>
      <c r="F288" s="71">
        <f>F289+F290+F291+F292</f>
        <v>0.05</v>
      </c>
      <c r="G288" s="71"/>
      <c r="H288" s="68">
        <f t="shared" si="24"/>
        <v>0</v>
      </c>
      <c r="I288" s="73">
        <f t="shared" si="25"/>
        <v>100</v>
      </c>
      <c r="J288" s="2"/>
      <c r="L288" s="40"/>
    </row>
    <row r="289" spans="1:12" ht="31.5">
      <c r="A289" s="17"/>
      <c r="B289" s="48" t="s">
        <v>309</v>
      </c>
      <c r="C289" s="18" t="s">
        <v>158</v>
      </c>
      <c r="D289" s="12">
        <v>0.05</v>
      </c>
      <c r="E289" s="12"/>
      <c r="F289" s="12">
        <v>0.05</v>
      </c>
      <c r="G289" s="12"/>
      <c r="H289" s="69">
        <f t="shared" si="24"/>
        <v>0</v>
      </c>
      <c r="I289" s="70">
        <f t="shared" si="25"/>
        <v>100</v>
      </c>
      <c r="J289" s="2"/>
      <c r="L289" s="40"/>
    </row>
    <row r="290" spans="1:12" ht="63" hidden="1">
      <c r="A290" s="17"/>
      <c r="B290" s="48" t="s">
        <v>19</v>
      </c>
      <c r="C290" s="7" t="s">
        <v>238</v>
      </c>
      <c r="D290" s="12"/>
      <c r="E290" s="12"/>
      <c r="F290" s="12"/>
      <c r="G290" s="12"/>
      <c r="H290" s="69">
        <f t="shared" si="24"/>
        <v>0</v>
      </c>
      <c r="I290" s="70" t="e">
        <f t="shared" si="25"/>
        <v>#DIV/0!</v>
      </c>
      <c r="J290" s="2"/>
      <c r="L290" s="40"/>
    </row>
    <row r="291" spans="1:12" ht="47.25" hidden="1">
      <c r="A291" s="17"/>
      <c r="B291" s="48" t="s">
        <v>25</v>
      </c>
      <c r="C291" s="3" t="s">
        <v>269</v>
      </c>
      <c r="D291" s="12"/>
      <c r="E291" s="12"/>
      <c r="F291" s="12"/>
      <c r="G291" s="12"/>
      <c r="H291" s="69">
        <f t="shared" si="24"/>
        <v>0</v>
      </c>
      <c r="I291" s="70" t="e">
        <f t="shared" si="25"/>
        <v>#DIV/0!</v>
      </c>
      <c r="J291" s="2"/>
      <c r="L291" s="40"/>
    </row>
    <row r="292" spans="1:12" ht="63" hidden="1">
      <c r="A292" s="17"/>
      <c r="B292" s="48" t="s">
        <v>312</v>
      </c>
      <c r="C292" s="18" t="s">
        <v>34</v>
      </c>
      <c r="D292" s="12"/>
      <c r="E292" s="12"/>
      <c r="F292" s="12"/>
      <c r="G292" s="12"/>
      <c r="H292" s="69">
        <f t="shared" si="24"/>
        <v>0</v>
      </c>
      <c r="I292" s="70" t="e">
        <f t="shared" si="25"/>
        <v>#DIV/0!</v>
      </c>
      <c r="J292" s="2"/>
      <c r="L292" s="40"/>
    </row>
    <row r="293" spans="1:12" ht="63" hidden="1">
      <c r="A293" s="27" t="s">
        <v>311</v>
      </c>
      <c r="B293" s="64" t="s">
        <v>321</v>
      </c>
      <c r="C293" s="55" t="s">
        <v>270</v>
      </c>
      <c r="D293" s="6"/>
      <c r="E293" s="6">
        <v>20.6</v>
      </c>
      <c r="F293" s="6"/>
      <c r="G293" s="5"/>
      <c r="H293" s="68">
        <f t="shared" si="24"/>
        <v>0</v>
      </c>
      <c r="I293" s="73" t="e">
        <f t="shared" si="25"/>
        <v>#DIV/0!</v>
      </c>
      <c r="J293" s="2"/>
      <c r="L293" s="40"/>
    </row>
    <row r="294" spans="1:12" ht="15.75">
      <c r="A294" s="19" t="s">
        <v>322</v>
      </c>
      <c r="B294" s="72" t="s">
        <v>335</v>
      </c>
      <c r="C294" s="63" t="s">
        <v>266</v>
      </c>
      <c r="D294" s="100">
        <f>D295+D296+D297+D298</f>
        <v>21.56137</v>
      </c>
      <c r="E294" s="100">
        <f>E295+E296+E297+E298</f>
        <v>0</v>
      </c>
      <c r="F294" s="100">
        <f>F295+F296+F297+F298</f>
        <v>21.56137</v>
      </c>
      <c r="G294" s="71"/>
      <c r="H294" s="68">
        <f t="shared" si="24"/>
        <v>0</v>
      </c>
      <c r="I294" s="73">
        <f t="shared" si="25"/>
        <v>100</v>
      </c>
      <c r="J294" s="2"/>
      <c r="L294" s="40"/>
    </row>
    <row r="295" spans="1:12" ht="15.75">
      <c r="A295" s="19"/>
      <c r="B295" s="72" t="s">
        <v>444</v>
      </c>
      <c r="C295" s="87" t="s">
        <v>271</v>
      </c>
      <c r="D295" s="100">
        <v>14.61137</v>
      </c>
      <c r="E295" s="71"/>
      <c r="F295" s="71">
        <v>14.61137</v>
      </c>
      <c r="G295" s="71"/>
      <c r="H295" s="68">
        <f t="shared" si="24"/>
        <v>0</v>
      </c>
      <c r="I295" s="73">
        <f t="shared" si="25"/>
        <v>100</v>
      </c>
      <c r="J295" s="2"/>
      <c r="L295" s="40"/>
    </row>
    <row r="296" spans="1:12" ht="15.75" customHeight="1">
      <c r="A296" s="19"/>
      <c r="B296" s="72" t="s">
        <v>445</v>
      </c>
      <c r="C296" s="87" t="s">
        <v>192</v>
      </c>
      <c r="D296" s="100">
        <v>0.34</v>
      </c>
      <c r="E296" s="71"/>
      <c r="F296" s="71">
        <v>0.34</v>
      </c>
      <c r="G296" s="71"/>
      <c r="H296" s="68">
        <f t="shared" si="24"/>
        <v>0</v>
      </c>
      <c r="I296" s="73">
        <f t="shared" si="25"/>
        <v>100</v>
      </c>
      <c r="J296" s="2"/>
      <c r="L296" s="40"/>
    </row>
    <row r="297" spans="1:12" ht="15.75">
      <c r="A297" s="19"/>
      <c r="B297" s="72" t="s">
        <v>446</v>
      </c>
      <c r="C297" s="99" t="s">
        <v>267</v>
      </c>
      <c r="D297" s="100">
        <v>2.22</v>
      </c>
      <c r="E297" s="71"/>
      <c r="F297" s="71">
        <v>2.22</v>
      </c>
      <c r="G297" s="71"/>
      <c r="H297" s="68">
        <f t="shared" si="24"/>
        <v>0</v>
      </c>
      <c r="I297" s="73">
        <f t="shared" si="25"/>
        <v>100</v>
      </c>
      <c r="J297" s="2"/>
      <c r="L297" s="40"/>
    </row>
    <row r="298" spans="1:12" ht="31.5">
      <c r="A298" s="19"/>
      <c r="B298" s="72" t="s">
        <v>424</v>
      </c>
      <c r="C298" s="99" t="s">
        <v>281</v>
      </c>
      <c r="D298" s="100">
        <v>4.39</v>
      </c>
      <c r="E298" s="71"/>
      <c r="F298" s="71">
        <v>4.39</v>
      </c>
      <c r="G298" s="71"/>
      <c r="H298" s="68">
        <f t="shared" si="24"/>
        <v>0</v>
      </c>
      <c r="I298" s="73">
        <f t="shared" si="25"/>
        <v>100</v>
      </c>
      <c r="J298" s="2"/>
      <c r="L298" s="40"/>
    </row>
    <row r="299" spans="1:12" ht="66" customHeight="1" hidden="1">
      <c r="A299" s="19"/>
      <c r="B299" s="72" t="s">
        <v>415</v>
      </c>
      <c r="C299" s="55" t="s">
        <v>282</v>
      </c>
      <c r="D299" s="100"/>
      <c r="E299" s="71"/>
      <c r="F299" s="71"/>
      <c r="G299" s="71"/>
      <c r="H299" s="68">
        <f t="shared" si="24"/>
        <v>0</v>
      </c>
      <c r="I299" s="76" t="e">
        <f t="shared" si="25"/>
        <v>#DIV/0!</v>
      </c>
      <c r="J299" s="2"/>
      <c r="L299" s="40"/>
    </row>
    <row r="300" spans="1:12" ht="31.5" hidden="1">
      <c r="A300" s="27" t="s">
        <v>323</v>
      </c>
      <c r="B300" s="64" t="s">
        <v>325</v>
      </c>
      <c r="C300" s="80" t="s">
        <v>39</v>
      </c>
      <c r="D300" s="6"/>
      <c r="E300" s="6">
        <v>0.1</v>
      </c>
      <c r="F300" s="5"/>
      <c r="G300" s="5" t="e">
        <f>F300-#REF!</f>
        <v>#REF!</v>
      </c>
      <c r="H300" s="68">
        <f t="shared" si="24"/>
        <v>0</v>
      </c>
      <c r="I300" s="73" t="e">
        <f t="shared" si="25"/>
        <v>#DIV/0!</v>
      </c>
      <c r="J300" s="2"/>
      <c r="L300" s="59"/>
    </row>
    <row r="301" spans="1:12" ht="18" customHeight="1">
      <c r="A301" s="27"/>
      <c r="B301" s="97"/>
      <c r="C301" s="74" t="s">
        <v>391</v>
      </c>
      <c r="D301" s="6">
        <f>D186+D260+D279</f>
        <v>30828.26721</v>
      </c>
      <c r="E301" s="6">
        <f>E186+E260+E279</f>
        <v>155.7</v>
      </c>
      <c r="F301" s="6">
        <f>F186+F260+F279</f>
        <v>9607.828730000001</v>
      </c>
      <c r="G301" s="6" t="e">
        <f>G260+#REF!+#REF!</f>
        <v>#REF!</v>
      </c>
      <c r="H301" s="68">
        <f t="shared" si="24"/>
        <v>-21220.43848</v>
      </c>
      <c r="I301" s="73">
        <f t="shared" si="25"/>
        <v>31.165646335397778</v>
      </c>
      <c r="L301" s="29"/>
    </row>
    <row r="302" spans="1:12" ht="18" customHeight="1">
      <c r="A302" s="27"/>
      <c r="B302" s="97"/>
      <c r="C302" s="74" t="s">
        <v>290</v>
      </c>
      <c r="D302" s="6">
        <v>197423.5</v>
      </c>
      <c r="E302" s="6"/>
      <c r="F302" s="6">
        <v>113299.5</v>
      </c>
      <c r="G302" s="6"/>
      <c r="H302" s="68">
        <f t="shared" si="24"/>
        <v>-84124</v>
      </c>
      <c r="I302" s="73">
        <f t="shared" si="25"/>
        <v>57.38906462503197</v>
      </c>
      <c r="L302" s="29"/>
    </row>
    <row r="303" spans="1:12" ht="78" customHeight="1">
      <c r="A303" s="117" t="s">
        <v>28</v>
      </c>
      <c r="B303" s="117"/>
      <c r="C303" s="117"/>
      <c r="D303" s="117"/>
      <c r="E303" s="60"/>
      <c r="F303" s="114" t="s">
        <v>47</v>
      </c>
      <c r="G303" s="114"/>
      <c r="H303" s="114"/>
      <c r="I303" s="114"/>
      <c r="L303" s="29"/>
    </row>
    <row r="304" spans="1:12" ht="18" customHeight="1">
      <c r="A304" s="106"/>
      <c r="B304" s="106"/>
      <c r="C304" s="106"/>
      <c r="G304" s="107"/>
      <c r="H304" s="107"/>
      <c r="L304" s="29"/>
    </row>
    <row r="305" spans="1:12" ht="18" customHeight="1">
      <c r="A305" s="106"/>
      <c r="B305" s="106"/>
      <c r="C305" s="106"/>
      <c r="L305" s="29"/>
    </row>
    <row r="306" spans="3:12" ht="15.75">
      <c r="C306" s="41"/>
      <c r="L306" s="34"/>
    </row>
    <row r="307" spans="3:12" ht="15.75">
      <c r="C307" s="42"/>
      <c r="D307" s="43"/>
      <c r="E307" s="43"/>
      <c r="F307" s="43"/>
      <c r="G307" s="44"/>
      <c r="L307" s="45"/>
    </row>
    <row r="308" spans="3:12" ht="45" customHeight="1">
      <c r="C308" s="41"/>
      <c r="D308" s="9"/>
      <c r="E308" s="9"/>
      <c r="F308" s="9"/>
      <c r="G308" s="46"/>
      <c r="H308" s="9"/>
      <c r="L308" s="45"/>
    </row>
    <row r="309" spans="3:12" ht="84" customHeight="1">
      <c r="C309" s="41"/>
      <c r="D309" s="9"/>
      <c r="E309" s="9"/>
      <c r="F309" s="9"/>
      <c r="G309" s="46"/>
      <c r="L309" s="29"/>
    </row>
    <row r="310" spans="3:12" ht="15.75">
      <c r="C310" s="41"/>
      <c r="L310" s="45"/>
    </row>
    <row r="311" spans="3:12" ht="15.75">
      <c r="C311" s="41"/>
      <c r="D311" s="9"/>
      <c r="E311" s="9"/>
      <c r="F311" s="9"/>
      <c r="G311" s="46"/>
      <c r="L311" s="29"/>
    </row>
    <row r="312" ht="15.75">
      <c r="L312" s="29"/>
    </row>
    <row r="313" ht="15.75">
      <c r="L313" s="29"/>
    </row>
    <row r="314" ht="15.75">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sheetData>
  <mergeCells count="11">
    <mergeCell ref="A305:C305"/>
    <mergeCell ref="H6:I6"/>
    <mergeCell ref="A9:I9"/>
    <mergeCell ref="A185:I185"/>
    <mergeCell ref="F303:I303"/>
    <mergeCell ref="A303:D303"/>
    <mergeCell ref="F1:I1"/>
    <mergeCell ref="A4:I4"/>
    <mergeCell ref="A5:I5"/>
    <mergeCell ref="A304:C304"/>
    <mergeCell ref="G304:H304"/>
  </mergeCells>
  <printOptions/>
  <pageMargins left="1.41" right="0.31" top="0.55" bottom="0.19" header="0" footer="0"/>
  <pageSetup blackAndWhite="1" fitToHeight="7"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M427"/>
  <sheetViews>
    <sheetView view="pageBreakPreview" zoomScaleSheetLayoutView="100" workbookViewId="0" topLeftCell="B287">
      <selection activeCell="F305" sqref="F305"/>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c r="C1" s="62"/>
      <c r="E1" s="62" t="s">
        <v>27</v>
      </c>
      <c r="F1" s="118" t="s">
        <v>29</v>
      </c>
      <c r="G1" s="118"/>
      <c r="H1" s="118"/>
      <c r="I1" s="118"/>
    </row>
    <row r="2" spans="5:9" s="52" customFormat="1" ht="26.25">
      <c r="E2" s="62"/>
      <c r="F2" s="78" t="s">
        <v>95</v>
      </c>
      <c r="G2" s="62"/>
      <c r="H2" s="53"/>
      <c r="I2" s="53"/>
    </row>
    <row r="3" spans="5:9" s="52" customFormat="1" ht="26.25">
      <c r="E3" s="62"/>
      <c r="F3" s="78" t="s">
        <v>97</v>
      </c>
      <c r="G3" s="62"/>
      <c r="H3" s="53"/>
      <c r="I3" s="53"/>
    </row>
    <row r="4" spans="1:12" s="52" customFormat="1" ht="24.75" customHeight="1">
      <c r="A4" s="116" t="s">
        <v>24</v>
      </c>
      <c r="B4" s="116"/>
      <c r="C4" s="116"/>
      <c r="D4" s="116"/>
      <c r="E4" s="116"/>
      <c r="F4" s="116"/>
      <c r="G4" s="116"/>
      <c r="H4" s="116"/>
      <c r="I4" s="116"/>
      <c r="J4" s="53"/>
      <c r="L4" s="54"/>
    </row>
    <row r="5" spans="1:12" s="52" customFormat="1" ht="26.25">
      <c r="A5" s="116" t="s">
        <v>140</v>
      </c>
      <c r="B5" s="116"/>
      <c r="C5" s="116"/>
      <c r="D5" s="116"/>
      <c r="E5" s="116"/>
      <c r="F5" s="116"/>
      <c r="G5" s="116"/>
      <c r="H5" s="116"/>
      <c r="I5" s="116"/>
      <c r="J5" s="56"/>
      <c r="L5" s="54"/>
    </row>
    <row r="6" spans="8:13" ht="15.75">
      <c r="H6" s="108" t="s">
        <v>56</v>
      </c>
      <c r="I6" s="108"/>
      <c r="J6" s="30"/>
      <c r="K6" s="31"/>
      <c r="L6" s="30"/>
      <c r="M6" s="31"/>
    </row>
    <row r="7" spans="1:12" ht="78.75">
      <c r="A7" s="32" t="s">
        <v>292</v>
      </c>
      <c r="B7" s="32" t="s">
        <v>293</v>
      </c>
      <c r="C7" s="32" t="s">
        <v>294</v>
      </c>
      <c r="D7" s="33" t="s">
        <v>57</v>
      </c>
      <c r="E7" s="32" t="s">
        <v>456</v>
      </c>
      <c r="F7" s="32" t="s">
        <v>65</v>
      </c>
      <c r="G7" s="33" t="s">
        <v>451</v>
      </c>
      <c r="H7" s="32" t="s">
        <v>59</v>
      </c>
      <c r="I7" s="32" t="s">
        <v>60</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295</v>
      </c>
      <c r="B10" s="79" t="s">
        <v>296</v>
      </c>
      <c r="C10" s="80" t="s">
        <v>98</v>
      </c>
      <c r="D10" s="5">
        <f>SUM(D11:D19)</f>
        <v>11307.10986</v>
      </c>
      <c r="E10" s="5">
        <f>SUM(E11:E19)</f>
        <v>3613.0000000000005</v>
      </c>
      <c r="F10" s="5">
        <f>SUM(F11:F19)</f>
        <v>7579.07573</v>
      </c>
      <c r="G10" s="5" t="e">
        <f>SUM(G11:G19)</f>
        <v>#REF!</v>
      </c>
      <c r="H10" s="5">
        <f aca="true" t="shared" si="0" ref="H10:H34">F10-D10</f>
        <v>-3728.034130000001</v>
      </c>
      <c r="I10" s="6">
        <f aca="true" t="shared" si="1" ref="I10:I26">F10/D10*100</f>
        <v>67.02929239956991</v>
      </c>
      <c r="J10" s="2"/>
      <c r="L10" s="37"/>
    </row>
    <row r="11" spans="1:12" ht="15.75">
      <c r="A11" s="17" t="s">
        <v>295</v>
      </c>
      <c r="B11" s="48" t="s">
        <v>296</v>
      </c>
      <c r="C11" s="18" t="s">
        <v>114</v>
      </c>
      <c r="D11" s="6">
        <v>669.587</v>
      </c>
      <c r="E11" s="1">
        <v>314.3</v>
      </c>
      <c r="F11" s="4">
        <v>514.04442</v>
      </c>
      <c r="G11" s="5">
        <f>F11-L10</f>
        <v>514.04442</v>
      </c>
      <c r="H11" s="4">
        <f t="shared" si="0"/>
        <v>-155.54258000000004</v>
      </c>
      <c r="I11" s="1">
        <f t="shared" si="1"/>
        <v>76.77037039249566</v>
      </c>
      <c r="J11" s="2"/>
      <c r="L11" s="37"/>
    </row>
    <row r="12" spans="1:12" ht="31.5">
      <c r="A12" s="17" t="s">
        <v>295</v>
      </c>
      <c r="B12" s="48" t="s">
        <v>296</v>
      </c>
      <c r="C12" s="18" t="s">
        <v>118</v>
      </c>
      <c r="D12" s="6">
        <f>5185.09256</f>
        <v>5185.09256</v>
      </c>
      <c r="E12" s="1">
        <v>1487.3</v>
      </c>
      <c r="F12" s="4">
        <v>3394.11201</v>
      </c>
      <c r="G12" s="5">
        <f>F12-L11</f>
        <v>3394.11201</v>
      </c>
      <c r="H12" s="4">
        <f t="shared" si="0"/>
        <v>-1790.9805500000002</v>
      </c>
      <c r="I12" s="1">
        <f t="shared" si="1"/>
        <v>65.45904380152473</v>
      </c>
      <c r="J12" s="2"/>
      <c r="L12" s="37"/>
    </row>
    <row r="13" spans="1:12" ht="47.25">
      <c r="A13" s="17"/>
      <c r="B13" s="48" t="s">
        <v>296</v>
      </c>
      <c r="C13" s="18" t="s">
        <v>251</v>
      </c>
      <c r="D13" s="6">
        <f>42.653-5</f>
        <v>37.653</v>
      </c>
      <c r="E13" s="1"/>
      <c r="F13" s="4">
        <v>6.109</v>
      </c>
      <c r="G13" s="5"/>
      <c r="H13" s="4">
        <f t="shared" si="0"/>
        <v>-31.543999999999997</v>
      </c>
      <c r="I13" s="1">
        <f t="shared" si="1"/>
        <v>16.22447082569782</v>
      </c>
      <c r="J13" s="2"/>
      <c r="L13" s="37"/>
    </row>
    <row r="14" spans="1:12" ht="31.5">
      <c r="A14" s="17" t="s">
        <v>295</v>
      </c>
      <c r="B14" s="48" t="s">
        <v>296</v>
      </c>
      <c r="C14" s="18" t="s">
        <v>119</v>
      </c>
      <c r="D14" s="6">
        <v>1142.398</v>
      </c>
      <c r="E14" s="1">
        <v>432.3</v>
      </c>
      <c r="F14" s="4">
        <v>728.13628</v>
      </c>
      <c r="G14" s="5">
        <f>F14-L12</f>
        <v>728.13628</v>
      </c>
      <c r="H14" s="4">
        <f t="shared" si="0"/>
        <v>-414.26171999999985</v>
      </c>
      <c r="I14" s="1">
        <f t="shared" si="1"/>
        <v>63.7375310531006</v>
      </c>
      <c r="J14" s="2"/>
      <c r="L14" s="37"/>
    </row>
    <row r="15" spans="1:12" ht="31.5">
      <c r="A15" s="17" t="s">
        <v>295</v>
      </c>
      <c r="B15" s="48" t="s">
        <v>296</v>
      </c>
      <c r="C15" s="7" t="s">
        <v>120</v>
      </c>
      <c r="D15" s="6">
        <v>1838.62908</v>
      </c>
      <c r="E15" s="1">
        <v>549.7</v>
      </c>
      <c r="F15" s="4">
        <v>1252.8049</v>
      </c>
      <c r="G15" s="5">
        <f>F15-L14</f>
        <v>1252.8049</v>
      </c>
      <c r="H15" s="4">
        <f t="shared" si="0"/>
        <v>-585.8241799999998</v>
      </c>
      <c r="I15" s="1">
        <f t="shared" si="1"/>
        <v>68.13799007247292</v>
      </c>
      <c r="J15" s="2"/>
      <c r="L15" s="37"/>
    </row>
    <row r="16" spans="1:12" ht="47.25">
      <c r="A16" s="17" t="s">
        <v>295</v>
      </c>
      <c r="B16" s="48" t="s">
        <v>296</v>
      </c>
      <c r="C16" s="7" t="s">
        <v>121</v>
      </c>
      <c r="D16" s="6">
        <v>838</v>
      </c>
      <c r="E16" s="1">
        <v>309</v>
      </c>
      <c r="F16" s="4">
        <v>562.34147</v>
      </c>
      <c r="G16" s="5">
        <f>F16-L15</f>
        <v>562.34147</v>
      </c>
      <c r="H16" s="4">
        <f t="shared" si="0"/>
        <v>-275.65853000000004</v>
      </c>
      <c r="I16" s="1">
        <f t="shared" si="1"/>
        <v>67.10518735083532</v>
      </c>
      <c r="J16" s="2"/>
      <c r="L16" s="37"/>
    </row>
    <row r="17" spans="1:12" ht="31.5">
      <c r="A17" s="17" t="s">
        <v>295</v>
      </c>
      <c r="B17" s="48" t="s">
        <v>296</v>
      </c>
      <c r="C17" s="7" t="s">
        <v>122</v>
      </c>
      <c r="D17" s="6">
        <v>763.1878</v>
      </c>
      <c r="E17" s="1">
        <v>258.7</v>
      </c>
      <c r="F17" s="4">
        <v>543.27378</v>
      </c>
      <c r="G17" s="5">
        <f>F17-L16</f>
        <v>543.27378</v>
      </c>
      <c r="H17" s="4">
        <f t="shared" si="0"/>
        <v>-219.91402000000005</v>
      </c>
      <c r="I17" s="1">
        <f t="shared" si="1"/>
        <v>71.18480929595572</v>
      </c>
      <c r="J17" s="2"/>
      <c r="L17" s="37"/>
    </row>
    <row r="18" spans="1:12" ht="31.5">
      <c r="A18" s="17" t="s">
        <v>295</v>
      </c>
      <c r="B18" s="48" t="s">
        <v>296</v>
      </c>
      <c r="C18" s="18" t="s">
        <v>123</v>
      </c>
      <c r="D18" s="6">
        <f>441.5034+1.2</f>
        <v>442.7034</v>
      </c>
      <c r="E18" s="1">
        <v>132.9</v>
      </c>
      <c r="F18" s="4">
        <v>309.00635</v>
      </c>
      <c r="G18" s="5" t="e">
        <f>F18-#REF!</f>
        <v>#REF!</v>
      </c>
      <c r="H18" s="4">
        <f t="shared" si="0"/>
        <v>-133.69705</v>
      </c>
      <c r="I18" s="1">
        <f t="shared" si="1"/>
        <v>69.79985922854895</v>
      </c>
      <c r="J18" s="2"/>
      <c r="L18" s="37"/>
    </row>
    <row r="19" spans="1:12" ht="31.5">
      <c r="A19" s="17" t="s">
        <v>295</v>
      </c>
      <c r="B19" s="48" t="s">
        <v>296</v>
      </c>
      <c r="C19" s="18" t="s">
        <v>124</v>
      </c>
      <c r="D19" s="6">
        <v>389.85902</v>
      </c>
      <c r="E19" s="1">
        <v>128.8</v>
      </c>
      <c r="F19" s="4">
        <v>269.24752</v>
      </c>
      <c r="G19" s="5">
        <f>F19-L18</f>
        <v>269.24752</v>
      </c>
      <c r="H19" s="4">
        <f t="shared" si="0"/>
        <v>-120.61149999999998</v>
      </c>
      <c r="I19" s="1">
        <f t="shared" si="1"/>
        <v>69.06279095453532</v>
      </c>
      <c r="J19" s="2"/>
      <c r="L19" s="2"/>
    </row>
    <row r="20" spans="1:12" ht="63">
      <c r="A20" s="17"/>
      <c r="B20" s="72" t="s">
        <v>478</v>
      </c>
      <c r="C20" s="55" t="s">
        <v>125</v>
      </c>
      <c r="D20" s="46">
        <v>7.81</v>
      </c>
      <c r="E20" s="46"/>
      <c r="F20" s="5">
        <v>0</v>
      </c>
      <c r="G20" s="5"/>
      <c r="H20" s="5">
        <f t="shared" si="0"/>
        <v>-7.81</v>
      </c>
      <c r="I20" s="6">
        <f t="shared" si="1"/>
        <v>0</v>
      </c>
      <c r="J20" s="2"/>
      <c r="L20" s="2"/>
    </row>
    <row r="21" spans="1:12" ht="15.75">
      <c r="A21" s="17" t="s">
        <v>297</v>
      </c>
      <c r="B21" s="64" t="s">
        <v>298</v>
      </c>
      <c r="C21" s="74" t="s">
        <v>99</v>
      </c>
      <c r="D21" s="6">
        <f>SUM(D22:D28)</f>
        <v>61795.714329999995</v>
      </c>
      <c r="E21" s="6">
        <f>SUM(E22:E28)</f>
        <v>21838.1</v>
      </c>
      <c r="F21" s="6">
        <f>SUM(F22:F28)</f>
        <v>43884.66795</v>
      </c>
      <c r="G21" s="6">
        <f>SUM(G22:G28)</f>
        <v>43883.15395</v>
      </c>
      <c r="H21" s="5">
        <f t="shared" si="0"/>
        <v>-17911.046379999992</v>
      </c>
      <c r="I21" s="6">
        <f t="shared" si="1"/>
        <v>71.01571431903537</v>
      </c>
      <c r="J21" s="2"/>
      <c r="L21" s="37"/>
    </row>
    <row r="22" spans="1:12" ht="15.75">
      <c r="A22" s="17" t="s">
        <v>357</v>
      </c>
      <c r="B22" s="64" t="s">
        <v>356</v>
      </c>
      <c r="C22" s="74" t="s">
        <v>393</v>
      </c>
      <c r="D22" s="6">
        <v>22186.65731</v>
      </c>
      <c r="E22" s="6">
        <v>7100.2</v>
      </c>
      <c r="F22" s="5">
        <v>15727.31738</v>
      </c>
      <c r="G22" s="5">
        <f>F22-L21</f>
        <v>15727.31738</v>
      </c>
      <c r="H22" s="5">
        <f t="shared" si="0"/>
        <v>-6459.339929999998</v>
      </c>
      <c r="I22" s="6">
        <f t="shared" si="1"/>
        <v>70.88637625872268</v>
      </c>
      <c r="J22" s="2"/>
      <c r="L22" s="37"/>
    </row>
    <row r="23" spans="1:12" ht="33" customHeight="1">
      <c r="A23" s="17"/>
      <c r="B23" s="64" t="s">
        <v>356</v>
      </c>
      <c r="C23" s="74" t="s">
        <v>126</v>
      </c>
      <c r="D23" s="6">
        <v>1.514</v>
      </c>
      <c r="E23" s="6"/>
      <c r="F23" s="5">
        <v>1.514</v>
      </c>
      <c r="G23" s="5"/>
      <c r="H23" s="5">
        <f t="shared" si="0"/>
        <v>0</v>
      </c>
      <c r="I23" s="6">
        <f t="shared" si="1"/>
        <v>100</v>
      </c>
      <c r="J23" s="2"/>
      <c r="L23" s="37"/>
    </row>
    <row r="24" spans="1:12" ht="15.75">
      <c r="A24" s="17" t="s">
        <v>359</v>
      </c>
      <c r="B24" s="64" t="s">
        <v>358</v>
      </c>
      <c r="C24" s="74" t="s">
        <v>394</v>
      </c>
      <c r="D24" s="6">
        <v>32240.67056</v>
      </c>
      <c r="E24" s="6">
        <v>12055.3</v>
      </c>
      <c r="F24" s="5">
        <v>22991.60567</v>
      </c>
      <c r="G24" s="5">
        <f>F24-L22</f>
        <v>22991.60567</v>
      </c>
      <c r="H24" s="5">
        <f t="shared" si="0"/>
        <v>-9249.064889999998</v>
      </c>
      <c r="I24" s="6">
        <f t="shared" si="1"/>
        <v>71.31243014072099</v>
      </c>
      <c r="J24" s="2"/>
      <c r="L24" s="37"/>
    </row>
    <row r="25" spans="1:12" ht="31.5">
      <c r="A25" s="17" t="s">
        <v>357</v>
      </c>
      <c r="B25" s="64" t="s">
        <v>457</v>
      </c>
      <c r="C25" s="74" t="s">
        <v>127</v>
      </c>
      <c r="D25" s="6">
        <v>230.5</v>
      </c>
      <c r="E25" s="6">
        <v>59.1</v>
      </c>
      <c r="F25" s="5">
        <v>206.39228</v>
      </c>
      <c r="G25" s="5">
        <f>F25-L24</f>
        <v>206.39228</v>
      </c>
      <c r="H25" s="5">
        <f t="shared" si="0"/>
        <v>-24.10772</v>
      </c>
      <c r="I25" s="6">
        <f t="shared" si="1"/>
        <v>89.54111930585682</v>
      </c>
      <c r="J25" s="2"/>
      <c r="L25" s="37"/>
    </row>
    <row r="26" spans="1:12" ht="21.75" customHeight="1">
      <c r="A26" s="17" t="s">
        <v>361</v>
      </c>
      <c r="B26" s="64" t="s">
        <v>360</v>
      </c>
      <c r="C26" s="74" t="s">
        <v>395</v>
      </c>
      <c r="D26" s="6">
        <v>3218.9525</v>
      </c>
      <c r="E26" s="6">
        <v>1069.7</v>
      </c>
      <c r="F26" s="5">
        <v>2277.29709</v>
      </c>
      <c r="G26" s="5">
        <f>F26-L25</f>
        <v>2277.29709</v>
      </c>
      <c r="H26" s="5">
        <f t="shared" si="0"/>
        <v>-941.6554099999998</v>
      </c>
      <c r="I26" s="6">
        <f t="shared" si="1"/>
        <v>70.74652670395105</v>
      </c>
      <c r="J26" s="2"/>
      <c r="L26" s="37"/>
    </row>
    <row r="27" spans="1:12" ht="19.5" customHeight="1" hidden="1">
      <c r="A27" s="17" t="s">
        <v>361</v>
      </c>
      <c r="B27" s="64" t="s">
        <v>360</v>
      </c>
      <c r="C27" s="74" t="s">
        <v>388</v>
      </c>
      <c r="D27" s="6"/>
      <c r="E27" s="6"/>
      <c r="F27" s="5"/>
      <c r="G27" s="5">
        <f>F27-L26</f>
        <v>0</v>
      </c>
      <c r="H27" s="5">
        <f t="shared" si="0"/>
        <v>0</v>
      </c>
      <c r="I27" s="6"/>
      <c r="J27" s="2"/>
      <c r="L27" s="37"/>
    </row>
    <row r="28" spans="1:12" ht="15.75">
      <c r="A28" s="17" t="s">
        <v>362</v>
      </c>
      <c r="B28" s="64" t="s">
        <v>363</v>
      </c>
      <c r="C28" s="74" t="s">
        <v>100</v>
      </c>
      <c r="D28" s="5">
        <f>SUM(D29:D35)</f>
        <v>3917.41996</v>
      </c>
      <c r="E28" s="5">
        <f>SUM(E29:E35)</f>
        <v>1553.8000000000002</v>
      </c>
      <c r="F28" s="5">
        <f>SUM(F29:F35)</f>
        <v>2680.54153</v>
      </c>
      <c r="G28" s="5">
        <f>SUM(G29:G35)</f>
        <v>2680.54153</v>
      </c>
      <c r="H28" s="5">
        <f t="shared" si="0"/>
        <v>-1236.8784300000002</v>
      </c>
      <c r="I28" s="6">
        <f aca="true" t="shared" si="2" ref="I28:I34">F28/D28*100</f>
        <v>68.4261977875867</v>
      </c>
      <c r="J28" s="2"/>
      <c r="L28" s="37"/>
    </row>
    <row r="29" spans="1:12" ht="24" customHeight="1">
      <c r="A29" s="17" t="s">
        <v>362</v>
      </c>
      <c r="B29" s="48" t="s">
        <v>375</v>
      </c>
      <c r="C29" s="18" t="s">
        <v>396</v>
      </c>
      <c r="D29" s="1">
        <v>632.073</v>
      </c>
      <c r="E29" s="1">
        <v>171.2</v>
      </c>
      <c r="F29" s="4">
        <v>442.91257</v>
      </c>
      <c r="G29" s="5">
        <f aca="true" t="shared" si="3" ref="G29:G35">F29-L28</f>
        <v>442.91257</v>
      </c>
      <c r="H29" s="4">
        <f t="shared" si="0"/>
        <v>-189.16042999999996</v>
      </c>
      <c r="I29" s="1">
        <f t="shared" si="2"/>
        <v>70.07300897206494</v>
      </c>
      <c r="J29" s="2"/>
      <c r="L29" s="37"/>
    </row>
    <row r="30" spans="1:12" ht="15.75">
      <c r="A30" s="17" t="s">
        <v>362</v>
      </c>
      <c r="B30" s="48" t="s">
        <v>376</v>
      </c>
      <c r="C30" s="18" t="s">
        <v>397</v>
      </c>
      <c r="D30" s="1">
        <v>1115.93675</v>
      </c>
      <c r="E30" s="1">
        <v>275.5</v>
      </c>
      <c r="F30" s="4">
        <v>804.87607</v>
      </c>
      <c r="G30" s="5">
        <f t="shared" si="3"/>
        <v>804.87607</v>
      </c>
      <c r="H30" s="4">
        <f t="shared" si="0"/>
        <v>-311.06068000000005</v>
      </c>
      <c r="I30" s="1">
        <f t="shared" si="2"/>
        <v>72.12559941233229</v>
      </c>
      <c r="J30" s="2"/>
      <c r="L30" s="37"/>
    </row>
    <row r="31" spans="1:12" ht="33" customHeight="1">
      <c r="A31" s="17" t="s">
        <v>362</v>
      </c>
      <c r="B31" s="48" t="s">
        <v>377</v>
      </c>
      <c r="C31" s="18" t="s">
        <v>398</v>
      </c>
      <c r="D31" s="1">
        <v>829.00621</v>
      </c>
      <c r="E31" s="1">
        <v>185</v>
      </c>
      <c r="F31" s="4">
        <v>623.87713</v>
      </c>
      <c r="G31" s="5">
        <f t="shared" si="3"/>
        <v>623.87713</v>
      </c>
      <c r="H31" s="4">
        <f t="shared" si="0"/>
        <v>-205.12908000000004</v>
      </c>
      <c r="I31" s="1">
        <f t="shared" si="2"/>
        <v>75.25602612795868</v>
      </c>
      <c r="J31" s="2"/>
      <c r="L31" s="37"/>
    </row>
    <row r="32" spans="1:12" ht="18.75" customHeight="1">
      <c r="A32" s="17" t="s">
        <v>362</v>
      </c>
      <c r="B32" s="48" t="s">
        <v>372</v>
      </c>
      <c r="C32" s="18" t="s">
        <v>399</v>
      </c>
      <c r="D32" s="1">
        <v>1046.053</v>
      </c>
      <c r="E32" s="1">
        <v>439.2</v>
      </c>
      <c r="F32" s="4">
        <v>751.40704</v>
      </c>
      <c r="G32" s="5">
        <f t="shared" si="3"/>
        <v>751.40704</v>
      </c>
      <c r="H32" s="4">
        <f t="shared" si="0"/>
        <v>-294.64596000000006</v>
      </c>
      <c r="I32" s="1">
        <f t="shared" si="2"/>
        <v>71.83259739229274</v>
      </c>
      <c r="J32" s="2"/>
      <c r="L32" s="37"/>
    </row>
    <row r="33" spans="1:12" ht="35.25" customHeight="1">
      <c r="A33" s="17" t="s">
        <v>362</v>
      </c>
      <c r="B33" s="48" t="s">
        <v>434</v>
      </c>
      <c r="C33" s="18" t="s">
        <v>128</v>
      </c>
      <c r="D33" s="1">
        <f>233.111+54</f>
        <v>287.111</v>
      </c>
      <c r="E33" s="1">
        <v>76</v>
      </c>
      <c r="F33" s="4">
        <v>56.36872</v>
      </c>
      <c r="G33" s="5">
        <f t="shared" si="3"/>
        <v>56.36872</v>
      </c>
      <c r="H33" s="4">
        <f t="shared" si="0"/>
        <v>-230.74228</v>
      </c>
      <c r="I33" s="1">
        <f t="shared" si="2"/>
        <v>19.633075709394625</v>
      </c>
      <c r="J33" s="2"/>
      <c r="L33" s="37"/>
    </row>
    <row r="34" spans="1:12" ht="30" customHeight="1">
      <c r="A34" s="19" t="s">
        <v>362</v>
      </c>
      <c r="B34" s="49" t="s">
        <v>422</v>
      </c>
      <c r="C34" s="7" t="s">
        <v>423</v>
      </c>
      <c r="D34" s="1">
        <v>7.24</v>
      </c>
      <c r="E34" s="1">
        <v>4</v>
      </c>
      <c r="F34" s="4">
        <v>1.1</v>
      </c>
      <c r="G34" s="5">
        <f t="shared" si="3"/>
        <v>1.1</v>
      </c>
      <c r="H34" s="4">
        <f t="shared" si="0"/>
        <v>-6.140000000000001</v>
      </c>
      <c r="I34" s="1">
        <f t="shared" si="2"/>
        <v>15.193370165745856</v>
      </c>
      <c r="J34" s="2"/>
      <c r="L34" s="37"/>
    </row>
    <row r="35" spans="1:12" ht="1.5" customHeight="1" hidden="1">
      <c r="A35" s="19" t="s">
        <v>362</v>
      </c>
      <c r="B35" s="49" t="s">
        <v>430</v>
      </c>
      <c r="C35" s="18" t="s">
        <v>460</v>
      </c>
      <c r="D35" s="1"/>
      <c r="E35" s="1">
        <v>402.9</v>
      </c>
      <c r="F35" s="4"/>
      <c r="G35" s="5">
        <f t="shared" si="3"/>
        <v>0</v>
      </c>
      <c r="H35" s="4"/>
      <c r="I35" s="1"/>
      <c r="J35" s="2"/>
      <c r="K35" s="2"/>
      <c r="L35" s="2"/>
    </row>
    <row r="36" spans="1:12" ht="15.75" hidden="1">
      <c r="A36" s="17" t="s">
        <v>400</v>
      </c>
      <c r="B36" s="48" t="s">
        <v>299</v>
      </c>
      <c r="C36" s="18" t="s">
        <v>401</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345</v>
      </c>
      <c r="B37" s="48" t="s">
        <v>346</v>
      </c>
      <c r="C37" s="7" t="s">
        <v>426</v>
      </c>
      <c r="D37" s="1"/>
      <c r="E37" s="1"/>
      <c r="F37" s="4"/>
      <c r="G37" s="5">
        <f>F37-L36</f>
        <v>0</v>
      </c>
      <c r="H37" s="4">
        <f t="shared" si="4"/>
        <v>0</v>
      </c>
      <c r="I37" s="1" t="e">
        <f t="shared" si="5"/>
        <v>#DIV/0!</v>
      </c>
      <c r="J37" s="2"/>
      <c r="L37" s="2"/>
    </row>
    <row r="38" spans="1:12" ht="33.75" customHeight="1">
      <c r="A38" s="17" t="s">
        <v>402</v>
      </c>
      <c r="B38" s="64" t="s">
        <v>300</v>
      </c>
      <c r="C38" s="55" t="s">
        <v>101</v>
      </c>
      <c r="D38" s="6">
        <f>D39+D52+D90+D92+D103+D109+D60+D91</f>
        <v>36512.936649999996</v>
      </c>
      <c r="E38" s="6">
        <f>E39+E52+E90+E92+E103+E109+E60+E91</f>
        <v>5469.299999999999</v>
      </c>
      <c r="F38" s="6">
        <f>F39+F52+F60+F90+F91+F92+F103+F109</f>
        <v>25612.27252</v>
      </c>
      <c r="G38" s="6" t="e">
        <f>G39+G52+G61+G62+#REF!+G83+G86+G89+G90+G92+G103+G110</f>
        <v>#REF!</v>
      </c>
      <c r="H38" s="5">
        <f t="shared" si="4"/>
        <v>-10900.664129999997</v>
      </c>
      <c r="I38" s="6">
        <f t="shared" si="5"/>
        <v>70.14574797286267</v>
      </c>
      <c r="J38" s="2"/>
      <c r="L38" s="2"/>
    </row>
    <row r="39" spans="1:12" ht="31.5">
      <c r="A39" s="17"/>
      <c r="B39" s="79" t="s">
        <v>440</v>
      </c>
      <c r="C39" s="74" t="s">
        <v>102</v>
      </c>
      <c r="D39" s="6">
        <f>SUM(D40:D51)</f>
        <v>3576.1720000000005</v>
      </c>
      <c r="E39" s="6">
        <f>SUM(E40:E51)</f>
        <v>1141.1</v>
      </c>
      <c r="F39" s="6">
        <f>SUM(F40:F51)</f>
        <v>2035.4824600000002</v>
      </c>
      <c r="G39" s="6">
        <f>SUM(G40:G50)</f>
        <v>1908.53473</v>
      </c>
      <c r="H39" s="5">
        <f t="shared" si="4"/>
        <v>-1540.6895400000003</v>
      </c>
      <c r="I39" s="6">
        <f t="shared" si="5"/>
        <v>56.917912784955526</v>
      </c>
      <c r="J39" s="2"/>
      <c r="L39" s="37"/>
    </row>
    <row r="40" spans="1:12" ht="78.75">
      <c r="A40" s="17" t="s">
        <v>301</v>
      </c>
      <c r="B40" s="64" t="s">
        <v>302</v>
      </c>
      <c r="C40" s="83" t="s">
        <v>239</v>
      </c>
      <c r="D40" s="6">
        <v>1600</v>
      </c>
      <c r="E40" s="6">
        <v>482.5</v>
      </c>
      <c r="F40" s="5">
        <v>800.79879</v>
      </c>
      <c r="G40" s="5">
        <f aca="true" t="shared" si="6" ref="G40:G50">F40-L39</f>
        <v>800.79879</v>
      </c>
      <c r="H40" s="5">
        <f t="shared" si="4"/>
        <v>-799.20121</v>
      </c>
      <c r="I40" s="6">
        <f t="shared" si="5"/>
        <v>50.049924374999996</v>
      </c>
      <c r="J40" s="2"/>
      <c r="L40" s="37"/>
    </row>
    <row r="41" spans="1:12" ht="78.75">
      <c r="A41" s="17" t="s">
        <v>301</v>
      </c>
      <c r="B41" s="64" t="s">
        <v>348</v>
      </c>
      <c r="C41" s="82" t="s">
        <v>239</v>
      </c>
      <c r="D41" s="6">
        <v>2.5202</v>
      </c>
      <c r="E41" s="6">
        <v>10.7</v>
      </c>
      <c r="F41" s="5">
        <v>1.5022</v>
      </c>
      <c r="G41" s="5">
        <f t="shared" si="6"/>
        <v>1.5022</v>
      </c>
      <c r="H41" s="5">
        <f t="shared" si="4"/>
        <v>-1.018</v>
      </c>
      <c r="I41" s="6">
        <f t="shared" si="5"/>
        <v>59.60638044599635</v>
      </c>
      <c r="J41" s="2"/>
      <c r="L41" s="37"/>
    </row>
    <row r="42" spans="1:12" ht="78.75">
      <c r="A42" s="17" t="s">
        <v>301</v>
      </c>
      <c r="B42" s="64" t="s">
        <v>349</v>
      </c>
      <c r="C42" s="82" t="s">
        <v>240</v>
      </c>
      <c r="D42" s="6">
        <v>16</v>
      </c>
      <c r="E42" s="6">
        <v>105.6</v>
      </c>
      <c r="F42" s="5">
        <v>11.06429</v>
      </c>
      <c r="G42" s="5">
        <f t="shared" si="6"/>
        <v>11.06429</v>
      </c>
      <c r="H42" s="5">
        <f t="shared" si="4"/>
        <v>-4.93571</v>
      </c>
      <c r="I42" s="6">
        <f t="shared" si="5"/>
        <v>69.1518125</v>
      </c>
      <c r="J42" s="2"/>
      <c r="L42" s="37"/>
    </row>
    <row r="43" spans="1:12" ht="78.75">
      <c r="A43" s="17" t="s">
        <v>301</v>
      </c>
      <c r="B43" s="64" t="s">
        <v>350</v>
      </c>
      <c r="C43" s="84" t="s">
        <v>241</v>
      </c>
      <c r="D43" s="6">
        <v>396.8</v>
      </c>
      <c r="E43" s="6">
        <v>108.4</v>
      </c>
      <c r="F43" s="5">
        <v>232.91621</v>
      </c>
      <c r="G43" s="5">
        <f t="shared" si="6"/>
        <v>232.91621</v>
      </c>
      <c r="H43" s="5">
        <f t="shared" si="4"/>
        <v>-163.88379</v>
      </c>
      <c r="I43" s="6">
        <f t="shared" si="5"/>
        <v>58.69864163306452</v>
      </c>
      <c r="J43" s="2"/>
      <c r="L43" s="37"/>
    </row>
    <row r="44" spans="1:12" ht="67.5" customHeight="1" hidden="1">
      <c r="A44" s="17" t="s">
        <v>301</v>
      </c>
      <c r="B44" s="64" t="s">
        <v>429</v>
      </c>
      <c r="C44" s="81" t="s">
        <v>11</v>
      </c>
      <c r="D44" s="6">
        <v>0</v>
      </c>
      <c r="E44" s="6">
        <v>0.2</v>
      </c>
      <c r="F44" s="5">
        <v>0</v>
      </c>
      <c r="G44" s="5">
        <f t="shared" si="6"/>
        <v>0</v>
      </c>
      <c r="H44" s="5">
        <f t="shared" si="4"/>
        <v>0</v>
      </c>
      <c r="I44" s="6" t="e">
        <f t="shared" si="5"/>
        <v>#DIV/0!</v>
      </c>
      <c r="J44" s="2"/>
      <c r="L44" s="37"/>
    </row>
    <row r="45" spans="1:12" ht="0.75" customHeight="1" hidden="1">
      <c r="A45" s="17" t="s">
        <v>301</v>
      </c>
      <c r="B45" s="64" t="s">
        <v>387</v>
      </c>
      <c r="C45" s="63" t="s">
        <v>6</v>
      </c>
      <c r="D45" s="6"/>
      <c r="E45" s="6">
        <v>5</v>
      </c>
      <c r="F45" s="5"/>
      <c r="G45" s="5">
        <f t="shared" si="6"/>
        <v>0</v>
      </c>
      <c r="H45" s="5">
        <f t="shared" si="4"/>
        <v>0</v>
      </c>
      <c r="I45" s="6" t="e">
        <f t="shared" si="5"/>
        <v>#DIV/0!</v>
      </c>
      <c r="J45" s="2"/>
      <c r="L45" s="37"/>
    </row>
    <row r="46" spans="1:12" ht="77.25" customHeight="1">
      <c r="A46" s="17" t="s">
        <v>326</v>
      </c>
      <c r="B46" s="64" t="s">
        <v>368</v>
      </c>
      <c r="C46" s="83" t="s">
        <v>142</v>
      </c>
      <c r="D46" s="6">
        <v>1000</v>
      </c>
      <c r="E46" s="6">
        <v>286.4</v>
      </c>
      <c r="F46" s="5">
        <v>578.32086</v>
      </c>
      <c r="G46" s="5">
        <f t="shared" si="6"/>
        <v>578.32086</v>
      </c>
      <c r="H46" s="5">
        <f t="shared" si="4"/>
        <v>-421.67913999999996</v>
      </c>
      <c r="I46" s="6">
        <f t="shared" si="5"/>
        <v>57.832086000000004</v>
      </c>
      <c r="J46" s="2"/>
      <c r="L46" s="37"/>
    </row>
    <row r="47" spans="1:12" ht="73.5" customHeight="1">
      <c r="A47" s="17" t="s">
        <v>326</v>
      </c>
      <c r="B47" s="64" t="s">
        <v>433</v>
      </c>
      <c r="C47" s="82" t="s">
        <v>143</v>
      </c>
      <c r="D47" s="6">
        <v>0.4978</v>
      </c>
      <c r="E47" s="6">
        <v>0.3</v>
      </c>
      <c r="F47" s="5">
        <v>0.4978</v>
      </c>
      <c r="G47" s="5">
        <f t="shared" si="6"/>
        <v>0.4978</v>
      </c>
      <c r="H47" s="5">
        <f t="shared" si="4"/>
        <v>0</v>
      </c>
      <c r="I47" s="6">
        <f t="shared" si="5"/>
        <v>100</v>
      </c>
      <c r="J47" s="2"/>
      <c r="L47" s="37"/>
    </row>
    <row r="48" spans="1:12" ht="60" customHeight="1">
      <c r="A48" s="17" t="s">
        <v>326</v>
      </c>
      <c r="B48" s="64" t="s">
        <v>369</v>
      </c>
      <c r="C48" s="82" t="s">
        <v>144</v>
      </c>
      <c r="D48" s="6">
        <v>30</v>
      </c>
      <c r="E48" s="6">
        <v>56.5</v>
      </c>
      <c r="F48" s="5">
        <v>16.65744</v>
      </c>
      <c r="G48" s="5">
        <f t="shared" si="6"/>
        <v>16.65744</v>
      </c>
      <c r="H48" s="5">
        <f t="shared" si="4"/>
        <v>-13.342559999999999</v>
      </c>
      <c r="I48" s="6">
        <f t="shared" si="5"/>
        <v>55.524800000000006</v>
      </c>
      <c r="J48" s="2"/>
      <c r="L48" s="37"/>
    </row>
    <row r="49" spans="1:12" ht="48.75" customHeight="1">
      <c r="A49" s="17" t="s">
        <v>326</v>
      </c>
      <c r="B49" s="64" t="s">
        <v>439</v>
      </c>
      <c r="C49" s="82" t="s">
        <v>145</v>
      </c>
      <c r="D49" s="6">
        <v>165.3</v>
      </c>
      <c r="E49" s="6">
        <v>50.6</v>
      </c>
      <c r="F49" s="5">
        <v>121.72642</v>
      </c>
      <c r="G49" s="5">
        <f t="shared" si="6"/>
        <v>121.72642</v>
      </c>
      <c r="H49" s="5">
        <f t="shared" si="4"/>
        <v>-43.57358000000001</v>
      </c>
      <c r="I49" s="6">
        <f t="shared" si="5"/>
        <v>73.63969751966121</v>
      </c>
      <c r="J49" s="2"/>
      <c r="L49" s="37"/>
    </row>
    <row r="50" spans="1:12" ht="31.5">
      <c r="A50" s="17" t="s">
        <v>326</v>
      </c>
      <c r="B50" s="64" t="s">
        <v>459</v>
      </c>
      <c r="C50" s="82" t="s">
        <v>146</v>
      </c>
      <c r="D50" s="6">
        <v>145.054</v>
      </c>
      <c r="E50" s="6">
        <v>34.9</v>
      </c>
      <c r="F50" s="5">
        <v>145.05072</v>
      </c>
      <c r="G50" s="5">
        <f t="shared" si="6"/>
        <v>145.05072</v>
      </c>
      <c r="H50" s="5">
        <f t="shared" si="4"/>
        <v>-0.0032799999999895135</v>
      </c>
      <c r="I50" s="6">
        <f t="shared" si="5"/>
        <v>99.99773877314657</v>
      </c>
      <c r="J50" s="2"/>
      <c r="K50" s="2"/>
      <c r="L50" s="2"/>
    </row>
    <row r="51" spans="1:12" ht="18.75" customHeight="1">
      <c r="A51" s="17" t="s">
        <v>326</v>
      </c>
      <c r="B51" s="64" t="s">
        <v>14</v>
      </c>
      <c r="C51" s="83" t="s">
        <v>147</v>
      </c>
      <c r="D51" s="6">
        <v>220</v>
      </c>
      <c r="E51" s="6"/>
      <c r="F51" s="5">
        <v>126.94773</v>
      </c>
      <c r="G51" s="5"/>
      <c r="H51" s="5">
        <f t="shared" si="4"/>
        <v>-93.05227</v>
      </c>
      <c r="I51" s="6">
        <f t="shared" si="5"/>
        <v>57.70351363636364</v>
      </c>
      <c r="J51" s="2"/>
      <c r="K51" s="2"/>
      <c r="L51" s="2"/>
    </row>
    <row r="52" spans="1:12" ht="31.5">
      <c r="A52" s="17"/>
      <c r="B52" s="79" t="s">
        <v>441</v>
      </c>
      <c r="C52" s="63" t="s">
        <v>103</v>
      </c>
      <c r="D52" s="6">
        <f>SUM(D53:D59)</f>
        <v>24742.307</v>
      </c>
      <c r="E52" s="6">
        <f>SUM(E53:E59)</f>
        <v>1842.6999999999998</v>
      </c>
      <c r="F52" s="6">
        <f>SUM(F53:F59)</f>
        <v>17720.73911</v>
      </c>
      <c r="G52" s="6">
        <f>SUM(G53:G57)</f>
        <v>17312.0425</v>
      </c>
      <c r="H52" s="5">
        <f t="shared" si="4"/>
        <v>-7021.567890000002</v>
      </c>
      <c r="I52" s="6">
        <f t="shared" si="5"/>
        <v>71.62120779602321</v>
      </c>
      <c r="J52" s="2"/>
      <c r="L52" s="38"/>
    </row>
    <row r="53" spans="1:12" ht="19.5" customHeight="1">
      <c r="A53" s="17" t="s">
        <v>304</v>
      </c>
      <c r="B53" s="64" t="s">
        <v>351</v>
      </c>
      <c r="C53" s="55" t="s">
        <v>148</v>
      </c>
      <c r="D53" s="6">
        <v>300</v>
      </c>
      <c r="E53" s="6">
        <v>73.9</v>
      </c>
      <c r="F53" s="5">
        <v>234.7391</v>
      </c>
      <c r="G53" s="5">
        <f aca="true" t="shared" si="7" ref="G53:G58">F53-L52</f>
        <v>234.7391</v>
      </c>
      <c r="H53" s="5">
        <f t="shared" si="4"/>
        <v>-65.26089999999999</v>
      </c>
      <c r="I53" s="6">
        <f t="shared" si="5"/>
        <v>78.24636666666666</v>
      </c>
      <c r="J53" s="2"/>
      <c r="L53" s="37"/>
    </row>
    <row r="54" spans="1:12" ht="19.5" customHeight="1">
      <c r="A54" s="17" t="s">
        <v>304</v>
      </c>
      <c r="B54" s="64" t="s">
        <v>352</v>
      </c>
      <c r="C54" s="55" t="s">
        <v>149</v>
      </c>
      <c r="D54" s="6">
        <v>4296.569</v>
      </c>
      <c r="E54" s="6">
        <v>616.3</v>
      </c>
      <c r="F54" s="5">
        <v>3043.7883</v>
      </c>
      <c r="G54" s="5">
        <f t="shared" si="7"/>
        <v>3043.7883</v>
      </c>
      <c r="H54" s="5">
        <f t="shared" si="4"/>
        <v>-1252.7807000000003</v>
      </c>
      <c r="I54" s="6">
        <f t="shared" si="5"/>
        <v>70.8422999840105</v>
      </c>
      <c r="J54" s="2"/>
      <c r="L54" s="37"/>
    </row>
    <row r="55" spans="1:12" ht="18.75" customHeight="1">
      <c r="A55" s="17" t="s">
        <v>304</v>
      </c>
      <c r="B55" s="64" t="s">
        <v>353</v>
      </c>
      <c r="C55" s="55" t="s">
        <v>150</v>
      </c>
      <c r="D55" s="6">
        <v>15378.678</v>
      </c>
      <c r="E55" s="6">
        <v>640.5</v>
      </c>
      <c r="F55" s="5">
        <v>10961.56532</v>
      </c>
      <c r="G55" s="5">
        <f t="shared" si="7"/>
        <v>10961.56532</v>
      </c>
      <c r="H55" s="5">
        <f t="shared" si="4"/>
        <v>-4417.11268</v>
      </c>
      <c r="I55" s="6">
        <f t="shared" si="5"/>
        <v>71.27768277611378</v>
      </c>
      <c r="J55" s="2"/>
      <c r="L55" s="37"/>
    </row>
    <row r="56" spans="1:12" ht="31.5">
      <c r="A56" s="17" t="s">
        <v>304</v>
      </c>
      <c r="B56" s="64" t="s">
        <v>354</v>
      </c>
      <c r="C56" s="55" t="s">
        <v>151</v>
      </c>
      <c r="D56" s="6">
        <v>1791.3</v>
      </c>
      <c r="E56" s="6">
        <v>137.2</v>
      </c>
      <c r="F56" s="5">
        <v>1270.75349</v>
      </c>
      <c r="G56" s="5">
        <f t="shared" si="7"/>
        <v>1270.75349</v>
      </c>
      <c r="H56" s="5">
        <f t="shared" si="4"/>
        <v>-520.5465099999999</v>
      </c>
      <c r="I56" s="6">
        <f t="shared" si="5"/>
        <v>70.9402941997432</v>
      </c>
      <c r="J56" s="2"/>
      <c r="L56" s="37"/>
    </row>
    <row r="57" spans="1:12" ht="18.75" customHeight="1">
      <c r="A57" s="17" t="s">
        <v>304</v>
      </c>
      <c r="B57" s="64" t="s">
        <v>355</v>
      </c>
      <c r="C57" s="55" t="s">
        <v>152</v>
      </c>
      <c r="D57" s="6">
        <v>2400</v>
      </c>
      <c r="E57" s="6">
        <v>336.9</v>
      </c>
      <c r="F57" s="5">
        <v>1801.19629</v>
      </c>
      <c r="G57" s="5">
        <f t="shared" si="7"/>
        <v>1801.19629</v>
      </c>
      <c r="H57" s="5">
        <f t="shared" si="4"/>
        <v>-598.8037099999999</v>
      </c>
      <c r="I57" s="6">
        <f t="shared" si="5"/>
        <v>75.04984541666667</v>
      </c>
      <c r="J57" s="2"/>
      <c r="L57" s="37"/>
    </row>
    <row r="58" spans="1:12" ht="20.25" customHeight="1">
      <c r="A58" s="17" t="s">
        <v>304</v>
      </c>
      <c r="B58" s="64" t="s">
        <v>436</v>
      </c>
      <c r="C58" s="55" t="s">
        <v>153</v>
      </c>
      <c r="D58" s="6">
        <v>530.9</v>
      </c>
      <c r="E58" s="6">
        <v>37.9</v>
      </c>
      <c r="F58" s="5">
        <v>371.04408</v>
      </c>
      <c r="G58" s="5">
        <f t="shared" si="7"/>
        <v>371.04408</v>
      </c>
      <c r="H58" s="5">
        <f t="shared" si="4"/>
        <v>-159.85591999999997</v>
      </c>
      <c r="I58" s="6">
        <f t="shared" si="5"/>
        <v>69.88963646637785</v>
      </c>
      <c r="J58" s="2"/>
      <c r="L58" s="37"/>
    </row>
    <row r="59" spans="1:12" ht="17.25" customHeight="1">
      <c r="A59" s="17" t="s">
        <v>304</v>
      </c>
      <c r="B59" s="64" t="s">
        <v>13</v>
      </c>
      <c r="C59" s="55" t="s">
        <v>154</v>
      </c>
      <c r="D59" s="6">
        <v>44.86</v>
      </c>
      <c r="E59" s="6"/>
      <c r="F59" s="5">
        <v>37.65253</v>
      </c>
      <c r="G59" s="5"/>
      <c r="H59" s="5">
        <f t="shared" si="4"/>
        <v>-7.207470000000001</v>
      </c>
      <c r="I59" s="6">
        <f t="shared" si="5"/>
        <v>83.93341506910387</v>
      </c>
      <c r="J59" s="2"/>
      <c r="L59" s="37"/>
    </row>
    <row r="60" spans="1:12" ht="18" customHeight="1">
      <c r="A60" s="17"/>
      <c r="B60" s="64" t="s">
        <v>461</v>
      </c>
      <c r="C60" s="63" t="s">
        <v>104</v>
      </c>
      <c r="D60" s="6">
        <f>D61+D62+D64+D83+D86+D89+D66+D87+D88+D65+D81+D63+D82+D84+D85</f>
        <v>2657.66583</v>
      </c>
      <c r="E60" s="6">
        <f>E61+E62+E64+E83+E86+E89+E66+E87+E88+E65+E81+E63+E82+E84+E85</f>
        <v>949.1999999999999</v>
      </c>
      <c r="F60" s="6">
        <f>F61+F62+F64+F83+F86+F89+F66+F87+F88+F65+F81+F63+F82+F84+F85</f>
        <v>1996.0911399999998</v>
      </c>
      <c r="G60" s="6">
        <f>G61+G62+G64+G83+G86+G89+G66+G87+G88+G65+G81</f>
        <v>1856.29075</v>
      </c>
      <c r="H60" s="5">
        <f t="shared" si="4"/>
        <v>-661.5746900000001</v>
      </c>
      <c r="I60" s="6">
        <f t="shared" si="5"/>
        <v>75.10692719407841</v>
      </c>
      <c r="J60" s="2"/>
      <c r="L60" s="37"/>
    </row>
    <row r="61" spans="1:12" ht="30.75" customHeight="1">
      <c r="A61" s="17" t="s">
        <v>304</v>
      </c>
      <c r="B61" s="64" t="s">
        <v>305</v>
      </c>
      <c r="C61" s="55" t="s">
        <v>155</v>
      </c>
      <c r="D61" s="6">
        <v>893.293</v>
      </c>
      <c r="E61" s="6">
        <v>256.9</v>
      </c>
      <c r="F61" s="5">
        <v>840.746</v>
      </c>
      <c r="G61" s="5">
        <f>F61-L60</f>
        <v>840.746</v>
      </c>
      <c r="H61" s="5">
        <f t="shared" si="4"/>
        <v>-52.547000000000025</v>
      </c>
      <c r="I61" s="6">
        <f t="shared" si="5"/>
        <v>94.11760754869903</v>
      </c>
      <c r="J61" s="2"/>
      <c r="L61" s="37"/>
    </row>
    <row r="62" spans="1:12" ht="48" customHeight="1">
      <c r="A62" s="17" t="s">
        <v>303</v>
      </c>
      <c r="B62" s="64" t="s">
        <v>336</v>
      </c>
      <c r="C62" s="55" t="s">
        <v>156</v>
      </c>
      <c r="D62" s="6">
        <v>520</v>
      </c>
      <c r="E62" s="6">
        <v>28.4</v>
      </c>
      <c r="F62" s="5">
        <v>325.92235</v>
      </c>
      <c r="G62" s="5">
        <f>F62-L61</f>
        <v>325.92235</v>
      </c>
      <c r="H62" s="5">
        <f t="shared" si="4"/>
        <v>-194.07765</v>
      </c>
      <c r="I62" s="6">
        <f t="shared" si="5"/>
        <v>62.677375000000005</v>
      </c>
      <c r="J62" s="2"/>
      <c r="L62" s="2"/>
    </row>
    <row r="63" spans="1:12" ht="47.25">
      <c r="A63" s="17"/>
      <c r="B63" s="64" t="s">
        <v>41</v>
      </c>
      <c r="C63" s="55" t="s">
        <v>157</v>
      </c>
      <c r="D63" s="6">
        <v>0.082</v>
      </c>
      <c r="E63" s="6"/>
      <c r="F63" s="6">
        <v>0</v>
      </c>
      <c r="G63" s="5"/>
      <c r="H63" s="5">
        <f t="shared" si="4"/>
        <v>-0.082</v>
      </c>
      <c r="I63" s="6">
        <f t="shared" si="5"/>
        <v>0</v>
      </c>
      <c r="J63" s="2"/>
      <c r="L63" s="2"/>
    </row>
    <row r="64" spans="1:12" ht="34.5" customHeight="1">
      <c r="A64" s="17" t="s">
        <v>308</v>
      </c>
      <c r="B64" s="64" t="s">
        <v>309</v>
      </c>
      <c r="C64" s="74" t="s">
        <v>158</v>
      </c>
      <c r="D64" s="6">
        <v>906.95942</v>
      </c>
      <c r="E64" s="6">
        <v>605.1</v>
      </c>
      <c r="F64" s="6">
        <v>567.00384</v>
      </c>
      <c r="G64" s="5">
        <f>F64-L63</f>
        <v>567.00384</v>
      </c>
      <c r="H64" s="5">
        <f t="shared" si="4"/>
        <v>-339.95558000000005</v>
      </c>
      <c r="I64" s="6">
        <f t="shared" si="5"/>
        <v>62.517002138860846</v>
      </c>
      <c r="J64" s="2"/>
      <c r="L64" s="39"/>
    </row>
    <row r="65" spans="1:12" ht="31.5">
      <c r="A65" s="17" t="s">
        <v>308</v>
      </c>
      <c r="B65" s="64" t="s">
        <v>309</v>
      </c>
      <c r="C65" s="74" t="s">
        <v>159</v>
      </c>
      <c r="D65" s="6">
        <v>37.486</v>
      </c>
      <c r="E65" s="6"/>
      <c r="F65" s="6">
        <v>35.2854</v>
      </c>
      <c r="G65" s="5"/>
      <c r="H65" s="5">
        <f t="shared" si="4"/>
        <v>-2.2005999999999943</v>
      </c>
      <c r="I65" s="6">
        <f t="shared" si="5"/>
        <v>94.12954169556636</v>
      </c>
      <c r="J65" s="2"/>
      <c r="L65" s="39"/>
    </row>
    <row r="66" spans="1:12" ht="33" customHeight="1">
      <c r="A66" s="17" t="s">
        <v>308</v>
      </c>
      <c r="B66" s="64" t="s">
        <v>309</v>
      </c>
      <c r="C66" s="74" t="s">
        <v>160</v>
      </c>
      <c r="D66" s="6">
        <v>90</v>
      </c>
      <c r="E66" s="6">
        <v>13</v>
      </c>
      <c r="F66" s="5">
        <v>59.52572</v>
      </c>
      <c r="G66" s="5">
        <f>F66-L64</f>
        <v>59.52572</v>
      </c>
      <c r="H66" s="5">
        <f t="shared" si="4"/>
        <v>-30.47428</v>
      </c>
      <c r="I66" s="6">
        <f t="shared" si="5"/>
        <v>66.1396888888889</v>
      </c>
      <c r="J66" s="2"/>
      <c r="L66" s="39"/>
    </row>
    <row r="67" spans="1:12" ht="30" customHeight="1" hidden="1">
      <c r="A67" s="17" t="s">
        <v>308</v>
      </c>
      <c r="B67" s="64" t="s">
        <v>309</v>
      </c>
      <c r="C67" s="74" t="s">
        <v>77</v>
      </c>
      <c r="D67" s="6"/>
      <c r="E67" s="6">
        <v>13</v>
      </c>
      <c r="F67" s="5"/>
      <c r="G67" s="5">
        <f aca="true" t="shared" si="8" ref="G67:G80">F67-L66</f>
        <v>0</v>
      </c>
      <c r="H67" s="5">
        <f t="shared" si="4"/>
        <v>0</v>
      </c>
      <c r="I67" s="6" t="e">
        <f t="shared" si="5"/>
        <v>#DIV/0!</v>
      </c>
      <c r="J67" s="2"/>
      <c r="L67" s="39"/>
    </row>
    <row r="68" spans="1:12" ht="30.75" customHeight="1" hidden="1">
      <c r="A68" s="17" t="s">
        <v>308</v>
      </c>
      <c r="B68" s="64" t="s">
        <v>309</v>
      </c>
      <c r="C68" s="74" t="s">
        <v>410</v>
      </c>
      <c r="D68" s="6"/>
      <c r="E68" s="6">
        <v>5</v>
      </c>
      <c r="F68" s="5"/>
      <c r="G68" s="5">
        <f t="shared" si="8"/>
        <v>0</v>
      </c>
      <c r="H68" s="5">
        <f aca="true" t="shared" si="9" ref="H68:H91">F68-D68</f>
        <v>0</v>
      </c>
      <c r="I68" s="6" t="e">
        <f aca="true" t="shared" si="10" ref="I68:I101">F68/D68*100</f>
        <v>#DIV/0!</v>
      </c>
      <c r="J68" s="2"/>
      <c r="L68" s="39"/>
    </row>
    <row r="69" spans="1:12" ht="31.5" customHeight="1" hidden="1">
      <c r="A69" s="17" t="s">
        <v>308</v>
      </c>
      <c r="B69" s="64" t="s">
        <v>309</v>
      </c>
      <c r="C69" s="74" t="s">
        <v>386</v>
      </c>
      <c r="D69" s="6"/>
      <c r="E69" s="6">
        <v>3</v>
      </c>
      <c r="F69" s="5"/>
      <c r="G69" s="5">
        <f t="shared" si="8"/>
        <v>0</v>
      </c>
      <c r="H69" s="5">
        <f t="shared" si="9"/>
        <v>0</v>
      </c>
      <c r="I69" s="6" t="e">
        <f t="shared" si="10"/>
        <v>#DIV/0!</v>
      </c>
      <c r="J69" s="2"/>
      <c r="L69" s="39"/>
    </row>
    <row r="70" spans="1:12" ht="33" customHeight="1" hidden="1">
      <c r="A70" s="17" t="s">
        <v>308</v>
      </c>
      <c r="B70" s="64" t="s">
        <v>309</v>
      </c>
      <c r="C70" s="74" t="s">
        <v>381</v>
      </c>
      <c r="D70" s="6"/>
      <c r="E70" s="6">
        <v>5</v>
      </c>
      <c r="F70" s="5"/>
      <c r="G70" s="5">
        <f t="shared" si="8"/>
        <v>0</v>
      </c>
      <c r="H70" s="5">
        <f t="shared" si="9"/>
        <v>0</v>
      </c>
      <c r="I70" s="6" t="e">
        <f t="shared" si="10"/>
        <v>#DIV/0!</v>
      </c>
      <c r="J70" s="2"/>
      <c r="L70" s="39"/>
    </row>
    <row r="71" spans="1:12" ht="29.25" customHeight="1" hidden="1">
      <c r="A71" s="17" t="s">
        <v>308</v>
      </c>
      <c r="B71" s="64" t="s">
        <v>309</v>
      </c>
      <c r="C71" s="74" t="s">
        <v>403</v>
      </c>
      <c r="D71" s="6"/>
      <c r="E71" s="6">
        <v>5</v>
      </c>
      <c r="F71" s="5"/>
      <c r="G71" s="5">
        <f t="shared" si="8"/>
        <v>0</v>
      </c>
      <c r="H71" s="5">
        <f t="shared" si="9"/>
        <v>0</v>
      </c>
      <c r="I71" s="6" t="e">
        <f t="shared" si="10"/>
        <v>#DIV/0!</v>
      </c>
      <c r="J71" s="2"/>
      <c r="L71" s="39"/>
    </row>
    <row r="72" spans="1:12" ht="31.5" customHeight="1" hidden="1">
      <c r="A72" s="17" t="s">
        <v>308</v>
      </c>
      <c r="B72" s="64" t="s">
        <v>309</v>
      </c>
      <c r="C72" s="74" t="s">
        <v>379</v>
      </c>
      <c r="D72" s="6"/>
      <c r="E72" s="6">
        <v>45</v>
      </c>
      <c r="F72" s="5"/>
      <c r="G72" s="5">
        <f t="shared" si="8"/>
        <v>0</v>
      </c>
      <c r="H72" s="5">
        <f t="shared" si="9"/>
        <v>0</v>
      </c>
      <c r="I72" s="6" t="e">
        <f t="shared" si="10"/>
        <v>#DIV/0!</v>
      </c>
      <c r="J72" s="2"/>
      <c r="L72" s="39"/>
    </row>
    <row r="73" spans="1:12" ht="30" customHeight="1" hidden="1">
      <c r="A73" s="17" t="s">
        <v>308</v>
      </c>
      <c r="B73" s="64" t="s">
        <v>309</v>
      </c>
      <c r="C73" s="74" t="s">
        <v>390</v>
      </c>
      <c r="D73" s="6"/>
      <c r="E73" s="6">
        <v>36</v>
      </c>
      <c r="F73" s="5"/>
      <c r="G73" s="5">
        <f t="shared" si="8"/>
        <v>0</v>
      </c>
      <c r="H73" s="5">
        <f t="shared" si="9"/>
        <v>0</v>
      </c>
      <c r="I73" s="6" t="e">
        <f t="shared" si="10"/>
        <v>#DIV/0!</v>
      </c>
      <c r="J73" s="2"/>
      <c r="L73" s="39"/>
    </row>
    <row r="74" spans="1:12" ht="33.75" customHeight="1" hidden="1">
      <c r="A74" s="17" t="s">
        <v>308</v>
      </c>
      <c r="B74" s="64" t="s">
        <v>309</v>
      </c>
      <c r="C74" s="74" t="s">
        <v>380</v>
      </c>
      <c r="D74" s="6"/>
      <c r="E74" s="6">
        <v>4.5</v>
      </c>
      <c r="F74" s="5"/>
      <c r="G74" s="5">
        <f t="shared" si="8"/>
        <v>0</v>
      </c>
      <c r="H74" s="5">
        <f t="shared" si="9"/>
        <v>0</v>
      </c>
      <c r="I74" s="6" t="e">
        <f t="shared" si="10"/>
        <v>#DIV/0!</v>
      </c>
      <c r="J74" s="2"/>
      <c r="L74" s="39"/>
    </row>
    <row r="75" spans="1:12" ht="33" customHeight="1" hidden="1">
      <c r="A75" s="17" t="s">
        <v>308</v>
      </c>
      <c r="B75" s="64" t="s">
        <v>309</v>
      </c>
      <c r="C75" s="63" t="s">
        <v>411</v>
      </c>
      <c r="D75" s="6"/>
      <c r="E75" s="6">
        <v>6</v>
      </c>
      <c r="F75" s="5"/>
      <c r="G75" s="5">
        <f t="shared" si="8"/>
        <v>0</v>
      </c>
      <c r="H75" s="5">
        <f t="shared" si="9"/>
        <v>0</v>
      </c>
      <c r="I75" s="6" t="e">
        <f t="shared" si="10"/>
        <v>#DIV/0!</v>
      </c>
      <c r="J75" s="2"/>
      <c r="L75" s="39"/>
    </row>
    <row r="76" spans="1:12" ht="33.75" customHeight="1" hidden="1">
      <c r="A76" s="17" t="s">
        <v>308</v>
      </c>
      <c r="B76" s="64" t="s">
        <v>309</v>
      </c>
      <c r="C76" s="74" t="s">
        <v>378</v>
      </c>
      <c r="D76" s="6"/>
      <c r="E76" s="6">
        <v>15</v>
      </c>
      <c r="F76" s="5"/>
      <c r="G76" s="5">
        <f t="shared" si="8"/>
        <v>0</v>
      </c>
      <c r="H76" s="5">
        <f t="shared" si="9"/>
        <v>0</v>
      </c>
      <c r="I76" s="6" t="e">
        <f t="shared" si="10"/>
        <v>#DIV/0!</v>
      </c>
      <c r="J76" s="2"/>
      <c r="L76" s="39"/>
    </row>
    <row r="77" spans="1:12" ht="36.75" customHeight="1" hidden="1">
      <c r="A77" s="17" t="s">
        <v>308</v>
      </c>
      <c r="B77" s="64" t="s">
        <v>309</v>
      </c>
      <c r="C77" s="74" t="s">
        <v>408</v>
      </c>
      <c r="D77" s="6"/>
      <c r="E77" s="6">
        <v>70</v>
      </c>
      <c r="F77" s="5"/>
      <c r="G77" s="5">
        <f t="shared" si="8"/>
        <v>0</v>
      </c>
      <c r="H77" s="5">
        <f t="shared" si="9"/>
        <v>0</v>
      </c>
      <c r="I77" s="6" t="e">
        <f t="shared" si="10"/>
        <v>#DIV/0!</v>
      </c>
      <c r="J77" s="2"/>
      <c r="L77" s="39"/>
    </row>
    <row r="78" spans="1:12" ht="39" customHeight="1" hidden="1">
      <c r="A78" s="17" t="s">
        <v>308</v>
      </c>
      <c r="B78" s="64" t="s">
        <v>309</v>
      </c>
      <c r="C78" s="74" t="s">
        <v>407</v>
      </c>
      <c r="D78" s="6"/>
      <c r="E78" s="6">
        <v>40</v>
      </c>
      <c r="F78" s="5"/>
      <c r="G78" s="5">
        <f t="shared" si="8"/>
        <v>0</v>
      </c>
      <c r="H78" s="5">
        <f t="shared" si="9"/>
        <v>0</v>
      </c>
      <c r="I78" s="6" t="e">
        <f t="shared" si="10"/>
        <v>#DIV/0!</v>
      </c>
      <c r="J78" s="2"/>
      <c r="L78" s="39"/>
    </row>
    <row r="79" spans="1:12" ht="42.75" customHeight="1" hidden="1">
      <c r="A79" s="17" t="s">
        <v>308</v>
      </c>
      <c r="B79" s="64" t="s">
        <v>309</v>
      </c>
      <c r="C79" s="74" t="s">
        <v>385</v>
      </c>
      <c r="D79" s="6"/>
      <c r="E79" s="6">
        <v>6</v>
      </c>
      <c r="F79" s="5"/>
      <c r="G79" s="5">
        <f t="shared" si="8"/>
        <v>0</v>
      </c>
      <c r="H79" s="5">
        <f t="shared" si="9"/>
        <v>0</v>
      </c>
      <c r="I79" s="6" t="e">
        <f t="shared" si="10"/>
        <v>#DIV/0!</v>
      </c>
      <c r="J79" s="2"/>
      <c r="L79" s="39"/>
    </row>
    <row r="80" spans="1:12" ht="44.25" customHeight="1" hidden="1">
      <c r="A80" s="17" t="s">
        <v>308</v>
      </c>
      <c r="B80" s="64" t="s">
        <v>309</v>
      </c>
      <c r="C80" s="63" t="s">
        <v>409</v>
      </c>
      <c r="D80" s="6"/>
      <c r="E80" s="6">
        <v>20</v>
      </c>
      <c r="F80" s="5"/>
      <c r="G80" s="5">
        <f t="shared" si="8"/>
        <v>0</v>
      </c>
      <c r="H80" s="5">
        <f t="shared" si="9"/>
        <v>0</v>
      </c>
      <c r="I80" s="6" t="e">
        <f t="shared" si="10"/>
        <v>#DIV/0!</v>
      </c>
      <c r="J80" s="2"/>
      <c r="L80" s="37"/>
    </row>
    <row r="81" spans="1:12" ht="47.25">
      <c r="A81" s="17"/>
      <c r="B81" s="64" t="s">
        <v>18</v>
      </c>
      <c r="C81" s="63" t="s">
        <v>61</v>
      </c>
      <c r="D81" s="6">
        <v>7.525</v>
      </c>
      <c r="E81" s="6"/>
      <c r="F81" s="5">
        <v>7.52458</v>
      </c>
      <c r="G81" s="5"/>
      <c r="H81" s="5">
        <f t="shared" si="9"/>
        <v>-0.00042000000000008697</v>
      </c>
      <c r="I81" s="6">
        <f t="shared" si="10"/>
        <v>99.99441860465116</v>
      </c>
      <c r="J81" s="2"/>
      <c r="L81" s="37"/>
    </row>
    <row r="82" spans="1:12" ht="46.5" customHeight="1">
      <c r="A82" s="17"/>
      <c r="B82" s="64" t="s">
        <v>18</v>
      </c>
      <c r="C82" s="63" t="s">
        <v>162</v>
      </c>
      <c r="D82" s="6">
        <f>10+14</f>
        <v>24</v>
      </c>
      <c r="E82" s="6"/>
      <c r="F82" s="5">
        <v>14</v>
      </c>
      <c r="G82" s="5"/>
      <c r="H82" s="5">
        <f t="shared" si="9"/>
        <v>-10</v>
      </c>
      <c r="I82" s="6">
        <f t="shared" si="10"/>
        <v>58.333333333333336</v>
      </c>
      <c r="J82" s="2"/>
      <c r="L82" s="37"/>
    </row>
    <row r="83" spans="1:12" ht="31.5" hidden="1">
      <c r="A83" s="17" t="s">
        <v>306</v>
      </c>
      <c r="B83" s="64" t="s">
        <v>307</v>
      </c>
      <c r="C83" s="74" t="s">
        <v>468</v>
      </c>
      <c r="D83" s="6">
        <v>0</v>
      </c>
      <c r="E83" s="6">
        <v>2.4</v>
      </c>
      <c r="F83" s="5"/>
      <c r="G83" s="5">
        <f>F83-L80</f>
        <v>0</v>
      </c>
      <c r="H83" s="5">
        <f t="shared" si="9"/>
        <v>0</v>
      </c>
      <c r="I83" s="6" t="e">
        <f t="shared" si="10"/>
        <v>#DIV/0!</v>
      </c>
      <c r="J83" s="2"/>
      <c r="L83" s="37"/>
    </row>
    <row r="84" spans="1:12" ht="47.25" hidden="1">
      <c r="A84" s="17"/>
      <c r="B84" s="64" t="s">
        <v>18</v>
      </c>
      <c r="C84" s="74" t="s">
        <v>163</v>
      </c>
      <c r="D84" s="6">
        <v>0</v>
      </c>
      <c r="E84" s="6"/>
      <c r="F84" s="5"/>
      <c r="G84" s="5"/>
      <c r="H84" s="5">
        <f t="shared" si="9"/>
        <v>0</v>
      </c>
      <c r="I84" s="6" t="e">
        <f t="shared" si="10"/>
        <v>#DIV/0!</v>
      </c>
      <c r="J84" s="2"/>
      <c r="L84" s="37"/>
    </row>
    <row r="85" spans="1:12" ht="31.5">
      <c r="A85" s="17"/>
      <c r="B85" s="64" t="s">
        <v>85</v>
      </c>
      <c r="C85" s="74" t="s">
        <v>164</v>
      </c>
      <c r="D85" s="6">
        <v>59.95041</v>
      </c>
      <c r="E85" s="6"/>
      <c r="F85" s="5">
        <v>59.95041</v>
      </c>
      <c r="G85" s="5"/>
      <c r="H85" s="5">
        <f t="shared" si="9"/>
        <v>0</v>
      </c>
      <c r="I85" s="6">
        <f t="shared" si="10"/>
        <v>100</v>
      </c>
      <c r="J85" s="2"/>
      <c r="L85" s="37"/>
    </row>
    <row r="86" spans="1:12" ht="31.5">
      <c r="A86" s="17" t="s">
        <v>308</v>
      </c>
      <c r="B86" s="64" t="s">
        <v>337</v>
      </c>
      <c r="C86" s="74" t="s">
        <v>26</v>
      </c>
      <c r="D86" s="6">
        <v>74.83</v>
      </c>
      <c r="E86" s="6">
        <v>38.3</v>
      </c>
      <c r="F86" s="5">
        <v>56.9282</v>
      </c>
      <c r="G86" s="5">
        <f>F86-L83</f>
        <v>56.9282</v>
      </c>
      <c r="H86" s="5">
        <f t="shared" si="9"/>
        <v>-17.9018</v>
      </c>
      <c r="I86" s="6">
        <f t="shared" si="10"/>
        <v>76.07670720299346</v>
      </c>
      <c r="J86" s="2"/>
      <c r="L86" s="37"/>
    </row>
    <row r="87" spans="1:12" ht="63" hidden="1">
      <c r="A87" s="17"/>
      <c r="B87" s="64" t="s">
        <v>337</v>
      </c>
      <c r="C87" s="74" t="s">
        <v>8</v>
      </c>
      <c r="D87" s="6">
        <v>0</v>
      </c>
      <c r="E87" s="6"/>
      <c r="F87" s="5"/>
      <c r="G87" s="5"/>
      <c r="H87" s="5">
        <f t="shared" si="9"/>
        <v>0</v>
      </c>
      <c r="I87" s="6" t="e">
        <f t="shared" si="10"/>
        <v>#DIV/0!</v>
      </c>
      <c r="J87" s="2"/>
      <c r="L87" s="37"/>
    </row>
    <row r="88" spans="1:12" ht="31.5">
      <c r="A88" s="17" t="s">
        <v>308</v>
      </c>
      <c r="B88" s="64" t="s">
        <v>337</v>
      </c>
      <c r="C88" s="74" t="s">
        <v>165</v>
      </c>
      <c r="D88" s="6">
        <v>24.24</v>
      </c>
      <c r="E88" s="6"/>
      <c r="F88" s="5">
        <v>23.04</v>
      </c>
      <c r="G88" s="5"/>
      <c r="H88" s="5">
        <f t="shared" si="9"/>
        <v>-1.1999999999999993</v>
      </c>
      <c r="I88" s="6">
        <f t="shared" si="10"/>
        <v>95.04950495049506</v>
      </c>
      <c r="J88" s="2"/>
      <c r="L88" s="37"/>
    </row>
    <row r="89" spans="1:12" ht="33.75" customHeight="1">
      <c r="A89" s="17" t="s">
        <v>308</v>
      </c>
      <c r="B89" s="72" t="s">
        <v>412</v>
      </c>
      <c r="C89" s="63" t="s">
        <v>166</v>
      </c>
      <c r="D89" s="6">
        <v>19.3</v>
      </c>
      <c r="E89" s="6">
        <v>5.1</v>
      </c>
      <c r="F89" s="5">
        <v>6.16464</v>
      </c>
      <c r="G89" s="5">
        <f>F89-L86</f>
        <v>6.16464</v>
      </c>
      <c r="H89" s="5">
        <f t="shared" si="9"/>
        <v>-13.13536</v>
      </c>
      <c r="I89" s="6">
        <f t="shared" si="10"/>
        <v>31.941139896373056</v>
      </c>
      <c r="J89" s="2"/>
      <c r="L89" s="37"/>
    </row>
    <row r="90" spans="1:12" ht="67.5" customHeight="1" hidden="1">
      <c r="A90" s="19" t="s">
        <v>304</v>
      </c>
      <c r="B90" s="72" t="s">
        <v>19</v>
      </c>
      <c r="C90" s="55" t="s">
        <v>31</v>
      </c>
      <c r="D90" s="6">
        <v>0</v>
      </c>
      <c r="E90" s="6">
        <v>301.4</v>
      </c>
      <c r="F90" s="5">
        <v>0</v>
      </c>
      <c r="G90" s="5">
        <f>F90-L89</f>
        <v>0</v>
      </c>
      <c r="H90" s="5">
        <f t="shared" si="9"/>
        <v>0</v>
      </c>
      <c r="I90" s="6" t="e">
        <f t="shared" si="10"/>
        <v>#DIV/0!</v>
      </c>
      <c r="J90" s="2"/>
      <c r="L90" s="2"/>
    </row>
    <row r="91" spans="1:12" ht="68.25" customHeight="1" hidden="1">
      <c r="A91" s="19" t="s">
        <v>304</v>
      </c>
      <c r="B91" s="72" t="s">
        <v>19</v>
      </c>
      <c r="C91" s="55" t="s">
        <v>105</v>
      </c>
      <c r="D91" s="6"/>
      <c r="E91" s="6"/>
      <c r="F91" s="5"/>
      <c r="G91" s="5"/>
      <c r="H91" s="5">
        <f t="shared" si="9"/>
        <v>0</v>
      </c>
      <c r="I91" s="6" t="e">
        <f t="shared" si="10"/>
        <v>#DIV/0!</v>
      </c>
      <c r="J91" s="2"/>
      <c r="L91" s="2"/>
    </row>
    <row r="92" spans="1:12" ht="15.75">
      <c r="A92" s="17" t="s">
        <v>304</v>
      </c>
      <c r="B92" s="79" t="s">
        <v>442</v>
      </c>
      <c r="C92" s="74" t="s">
        <v>443</v>
      </c>
      <c r="D92" s="6">
        <f>SUM(D93:D102)</f>
        <v>683.3050000000001</v>
      </c>
      <c r="E92" s="6">
        <f>SUM(E93:E102)</f>
        <v>163.6</v>
      </c>
      <c r="F92" s="6">
        <f>SUM(F93:F102)</f>
        <v>433.83998</v>
      </c>
      <c r="G92" s="6">
        <f>SUM(G93:G102)</f>
        <v>205.97484</v>
      </c>
      <c r="H92" s="6">
        <f>SUM(H93:H102)</f>
        <v>-249.46502</v>
      </c>
      <c r="I92" s="6">
        <f t="shared" si="10"/>
        <v>63.491410131639604</v>
      </c>
      <c r="J92" s="2"/>
      <c r="L92" s="37"/>
    </row>
    <row r="93" spans="1:12" ht="33" customHeight="1">
      <c r="A93" s="17" t="s">
        <v>304</v>
      </c>
      <c r="B93" s="48" t="s">
        <v>365</v>
      </c>
      <c r="C93" s="18" t="s">
        <v>32</v>
      </c>
      <c r="D93" s="1">
        <v>331.091</v>
      </c>
      <c r="E93" s="1">
        <v>124.6</v>
      </c>
      <c r="F93" s="4">
        <v>205.97484</v>
      </c>
      <c r="G93" s="5">
        <f>F93-L92</f>
        <v>205.97484</v>
      </c>
      <c r="H93" s="4">
        <f aca="true" t="shared" si="11" ref="H93:H101">F93-D93</f>
        <v>-125.11616000000001</v>
      </c>
      <c r="I93" s="1">
        <f t="shared" si="10"/>
        <v>62.21094502719796</v>
      </c>
      <c r="J93" s="2"/>
      <c r="L93" s="37"/>
    </row>
    <row r="94" spans="1:12" ht="47.25" hidden="1">
      <c r="A94" s="17" t="s">
        <v>304</v>
      </c>
      <c r="B94" s="48" t="s">
        <v>344</v>
      </c>
      <c r="C94" s="18" t="s">
        <v>12</v>
      </c>
      <c r="D94" s="1">
        <v>0</v>
      </c>
      <c r="E94" s="1">
        <v>22</v>
      </c>
      <c r="F94" s="4"/>
      <c r="G94" s="5">
        <f>F94-L93</f>
        <v>0</v>
      </c>
      <c r="H94" s="4">
        <f t="shared" si="11"/>
        <v>0</v>
      </c>
      <c r="I94" s="1" t="e">
        <f t="shared" si="10"/>
        <v>#DIV/0!</v>
      </c>
      <c r="J94" s="2"/>
      <c r="L94" s="37"/>
    </row>
    <row r="95" spans="1:12" ht="0.75" customHeight="1" hidden="1">
      <c r="A95" s="17" t="s">
        <v>304</v>
      </c>
      <c r="B95" s="48" t="s">
        <v>366</v>
      </c>
      <c r="C95" s="18" t="s">
        <v>12</v>
      </c>
      <c r="D95" s="1">
        <v>0</v>
      </c>
      <c r="E95" s="1">
        <v>17</v>
      </c>
      <c r="F95" s="4"/>
      <c r="G95" s="5">
        <f>F95-L94</f>
        <v>0</v>
      </c>
      <c r="H95" s="4">
        <f t="shared" si="11"/>
        <v>0</v>
      </c>
      <c r="I95" s="1" t="e">
        <f t="shared" si="10"/>
        <v>#DIV/0!</v>
      </c>
      <c r="J95" s="2"/>
      <c r="L95" s="2"/>
    </row>
    <row r="96" spans="1:12" ht="65.25" customHeight="1">
      <c r="A96" s="17"/>
      <c r="B96" s="48" t="s">
        <v>365</v>
      </c>
      <c r="C96" s="18" t="s">
        <v>167</v>
      </c>
      <c r="D96" s="1">
        <v>287.3</v>
      </c>
      <c r="E96" s="1"/>
      <c r="F96" s="4">
        <v>195.67193</v>
      </c>
      <c r="G96" s="5"/>
      <c r="H96" s="4">
        <f t="shared" si="11"/>
        <v>-91.62807000000001</v>
      </c>
      <c r="I96" s="1">
        <f t="shared" si="10"/>
        <v>68.10718064740689</v>
      </c>
      <c r="J96" s="2"/>
      <c r="L96" s="2"/>
    </row>
    <row r="97" spans="1:12" ht="44.25" customHeight="1">
      <c r="A97" s="17"/>
      <c r="B97" s="48" t="s">
        <v>366</v>
      </c>
      <c r="C97" s="18" t="s">
        <v>168</v>
      </c>
      <c r="D97" s="1">
        <v>5.48</v>
      </c>
      <c r="E97" s="1"/>
      <c r="F97" s="5">
        <v>2.458</v>
      </c>
      <c r="G97" s="5"/>
      <c r="H97" s="4">
        <f t="shared" si="11"/>
        <v>-3.0220000000000002</v>
      </c>
      <c r="I97" s="1">
        <f t="shared" si="10"/>
        <v>44.85401459854015</v>
      </c>
      <c r="J97" s="2"/>
      <c r="L97" s="2"/>
    </row>
    <row r="98" spans="1:12" ht="49.5" customHeight="1">
      <c r="A98" s="17"/>
      <c r="B98" s="48" t="s">
        <v>366</v>
      </c>
      <c r="C98" s="18" t="s">
        <v>168</v>
      </c>
      <c r="D98" s="1">
        <v>20</v>
      </c>
      <c r="E98" s="1"/>
      <c r="F98" s="5">
        <v>1.60636</v>
      </c>
      <c r="G98" s="5"/>
      <c r="H98" s="4">
        <f t="shared" si="11"/>
        <v>-18.39364</v>
      </c>
      <c r="I98" s="1">
        <f t="shared" si="10"/>
        <v>8.0318</v>
      </c>
      <c r="J98" s="2"/>
      <c r="L98" s="2"/>
    </row>
    <row r="99" spans="1:12" ht="48.75" customHeight="1">
      <c r="A99" s="17" t="s">
        <v>304</v>
      </c>
      <c r="B99" s="48" t="s">
        <v>366</v>
      </c>
      <c r="C99" s="7" t="s">
        <v>169</v>
      </c>
      <c r="D99" s="1">
        <v>35</v>
      </c>
      <c r="E99" s="1"/>
      <c r="F99" s="5">
        <v>27.29585</v>
      </c>
      <c r="G99" s="5"/>
      <c r="H99" s="4">
        <f t="shared" si="11"/>
        <v>-7.7041499999999985</v>
      </c>
      <c r="I99" s="1">
        <f t="shared" si="10"/>
        <v>77.98814285714286</v>
      </c>
      <c r="J99" s="2"/>
      <c r="L99" s="2"/>
    </row>
    <row r="100" spans="1:12" ht="64.5" customHeight="1" hidden="1">
      <c r="A100" s="17"/>
      <c r="B100" s="48" t="s">
        <v>78</v>
      </c>
      <c r="C100" s="7" t="s">
        <v>170</v>
      </c>
      <c r="D100" s="1"/>
      <c r="E100" s="1"/>
      <c r="F100" s="4"/>
      <c r="G100" s="5"/>
      <c r="H100" s="4">
        <f t="shared" si="11"/>
        <v>0</v>
      </c>
      <c r="I100" s="1" t="e">
        <f t="shared" si="10"/>
        <v>#DIV/0!</v>
      </c>
      <c r="J100" s="2"/>
      <c r="L100" s="2"/>
    </row>
    <row r="101" spans="1:12" ht="50.25" customHeight="1">
      <c r="A101" s="17"/>
      <c r="B101" s="48" t="s">
        <v>78</v>
      </c>
      <c r="C101" s="7" t="s">
        <v>182</v>
      </c>
      <c r="D101" s="1">
        <f>4+0.434</f>
        <v>4.434</v>
      </c>
      <c r="E101" s="1"/>
      <c r="F101" s="4">
        <f>0.399+0.434</f>
        <v>0.833</v>
      </c>
      <c r="G101" s="5"/>
      <c r="H101" s="4">
        <f t="shared" si="11"/>
        <v>-3.601</v>
      </c>
      <c r="I101" s="1">
        <f t="shared" si="10"/>
        <v>18.786648624267027</v>
      </c>
      <c r="J101" s="2"/>
      <c r="L101" s="2"/>
    </row>
    <row r="102" spans="1:12" ht="50.25" customHeight="1" hidden="1">
      <c r="A102" s="17"/>
      <c r="B102" s="48" t="s">
        <v>25</v>
      </c>
      <c r="C102" s="18" t="s">
        <v>33</v>
      </c>
      <c r="D102" s="1"/>
      <c r="E102" s="1"/>
      <c r="F102" s="4"/>
      <c r="G102" s="5"/>
      <c r="H102" s="4"/>
      <c r="I102" s="1"/>
      <c r="J102" s="2"/>
      <c r="L102" s="2"/>
    </row>
    <row r="103" spans="1:12" ht="15.75">
      <c r="A103" s="17"/>
      <c r="B103" s="64" t="s">
        <v>310</v>
      </c>
      <c r="C103" s="74" t="s">
        <v>106</v>
      </c>
      <c r="D103" s="6">
        <f>SUM(D104:D108)</f>
        <v>1890.48682</v>
      </c>
      <c r="E103" s="6">
        <f>SUM(E104:E108)</f>
        <v>661.9</v>
      </c>
      <c r="F103" s="6">
        <f>SUM(F104:F108)</f>
        <v>1295.67035</v>
      </c>
      <c r="G103" s="6">
        <f>SUM(G104:G108)</f>
        <v>1232.61137</v>
      </c>
      <c r="H103" s="5">
        <f aca="true" t="shared" si="12" ref="H103:H134">F103-D103</f>
        <v>-594.81647</v>
      </c>
      <c r="I103" s="6">
        <f aca="true" t="shared" si="13" ref="I103:I134">F103/D103*100</f>
        <v>68.53633340855558</v>
      </c>
      <c r="J103" s="2"/>
      <c r="L103" s="2"/>
    </row>
    <row r="104" spans="1:12" ht="65.25" customHeight="1">
      <c r="A104" s="17" t="s">
        <v>311</v>
      </c>
      <c r="B104" s="48" t="s">
        <v>312</v>
      </c>
      <c r="C104" s="18" t="s">
        <v>66</v>
      </c>
      <c r="D104" s="1">
        <v>1616.11682</v>
      </c>
      <c r="E104" s="1">
        <v>392.3</v>
      </c>
      <c r="F104" s="1">
        <v>1135.41757</v>
      </c>
      <c r="G104" s="5">
        <f>F104-L103</f>
        <v>1135.41757</v>
      </c>
      <c r="H104" s="4">
        <f t="shared" si="12"/>
        <v>-480.6992499999999</v>
      </c>
      <c r="I104" s="1">
        <f t="shared" si="13"/>
        <v>70.25590947070275</v>
      </c>
      <c r="J104" s="2"/>
      <c r="L104" s="37"/>
    </row>
    <row r="105" spans="1:12" ht="79.5" customHeight="1">
      <c r="A105" s="17" t="s">
        <v>311</v>
      </c>
      <c r="B105" s="48" t="s">
        <v>20</v>
      </c>
      <c r="C105" s="7" t="s">
        <v>272</v>
      </c>
      <c r="D105" s="1">
        <v>140</v>
      </c>
      <c r="E105" s="1"/>
      <c r="F105" s="1">
        <v>63.05898</v>
      </c>
      <c r="G105" s="5"/>
      <c r="H105" s="4">
        <f t="shared" si="12"/>
        <v>-76.94102000000001</v>
      </c>
      <c r="I105" s="1">
        <f t="shared" si="13"/>
        <v>45.04212857142857</v>
      </c>
      <c r="J105" s="2"/>
      <c r="L105" s="37"/>
    </row>
    <row r="106" spans="1:12" ht="48" customHeight="1">
      <c r="A106" s="17" t="s">
        <v>303</v>
      </c>
      <c r="B106" s="48" t="s">
        <v>313</v>
      </c>
      <c r="C106" s="7" t="s">
        <v>173</v>
      </c>
      <c r="D106" s="1">
        <f>34.14-2</f>
        <v>32.14</v>
      </c>
      <c r="E106" s="1">
        <v>3.4</v>
      </c>
      <c r="F106" s="4">
        <v>18.62093</v>
      </c>
      <c r="G106" s="5">
        <f>F106-L104</f>
        <v>18.62093</v>
      </c>
      <c r="H106" s="4">
        <f t="shared" si="12"/>
        <v>-13.51907</v>
      </c>
      <c r="I106" s="1">
        <f t="shared" si="13"/>
        <v>57.9369321717486</v>
      </c>
      <c r="J106" s="2"/>
      <c r="L106" s="2"/>
    </row>
    <row r="107" spans="1:12" ht="79.5" customHeight="1">
      <c r="A107" s="17" t="s">
        <v>301</v>
      </c>
      <c r="B107" s="48" t="s">
        <v>314</v>
      </c>
      <c r="C107" s="3" t="s">
        <v>174</v>
      </c>
      <c r="D107" s="1">
        <f>100.23+2</f>
        <v>102.23</v>
      </c>
      <c r="E107" s="1">
        <v>32.8</v>
      </c>
      <c r="F107" s="1">
        <v>78.57287</v>
      </c>
      <c r="G107" s="5">
        <f>F107-L106</f>
        <v>78.57287</v>
      </c>
      <c r="H107" s="4">
        <f t="shared" si="12"/>
        <v>-23.65713000000001</v>
      </c>
      <c r="I107" s="1">
        <f t="shared" si="13"/>
        <v>76.85891616942189</v>
      </c>
      <c r="J107" s="2"/>
      <c r="L107" s="39"/>
    </row>
    <row r="108" spans="1:12" ht="31.5" hidden="1">
      <c r="A108" s="17" t="s">
        <v>308</v>
      </c>
      <c r="B108" s="48" t="s">
        <v>315</v>
      </c>
      <c r="C108" s="3" t="s">
        <v>469</v>
      </c>
      <c r="D108" s="1">
        <v>0</v>
      </c>
      <c r="E108" s="1">
        <v>233.4</v>
      </c>
      <c r="F108" s="5">
        <v>0</v>
      </c>
      <c r="G108" s="5">
        <f>F108-L107</f>
        <v>0</v>
      </c>
      <c r="H108" s="4">
        <f t="shared" si="12"/>
        <v>0</v>
      </c>
      <c r="I108" s="1" t="e">
        <f t="shared" si="13"/>
        <v>#DIV/0!</v>
      </c>
      <c r="J108" s="2"/>
      <c r="L108" s="39"/>
    </row>
    <row r="109" spans="1:12" ht="15.75">
      <c r="A109" s="17"/>
      <c r="B109" s="64" t="s">
        <v>316</v>
      </c>
      <c r="C109" s="74" t="s">
        <v>443</v>
      </c>
      <c r="D109" s="6">
        <f>D110+D111+D112</f>
        <v>2963</v>
      </c>
      <c r="E109" s="6">
        <f>E110+E111+E112</f>
        <v>409.4</v>
      </c>
      <c r="F109" s="6">
        <f>F110+F111+F112</f>
        <v>2130.4494799999998</v>
      </c>
      <c r="G109" s="85">
        <f>G110+G111+G112</f>
        <v>2125.07859</v>
      </c>
      <c r="H109" s="5">
        <f t="shared" si="12"/>
        <v>-832.5505200000002</v>
      </c>
      <c r="I109" s="6">
        <f t="shared" si="13"/>
        <v>71.90177117786027</v>
      </c>
      <c r="J109" s="2"/>
      <c r="L109" s="37"/>
    </row>
    <row r="110" spans="1:12" ht="31.5">
      <c r="A110" s="17" t="s">
        <v>306</v>
      </c>
      <c r="B110" s="64" t="s">
        <v>316</v>
      </c>
      <c r="C110" s="74" t="s">
        <v>175</v>
      </c>
      <c r="D110" s="6">
        <v>2955.6</v>
      </c>
      <c r="E110" s="6">
        <v>409.4</v>
      </c>
      <c r="F110" s="5">
        <v>2125.07859</v>
      </c>
      <c r="G110" s="5">
        <f>F110-L109</f>
        <v>2125.07859</v>
      </c>
      <c r="H110" s="5">
        <f t="shared" si="12"/>
        <v>-830.5214099999998</v>
      </c>
      <c r="I110" s="6">
        <f t="shared" si="13"/>
        <v>71.90007409663014</v>
      </c>
      <c r="J110" s="2"/>
      <c r="L110" s="37"/>
    </row>
    <row r="111" spans="1:12" ht="47.25">
      <c r="A111" s="17"/>
      <c r="B111" s="64" t="s">
        <v>462</v>
      </c>
      <c r="C111" s="74" t="s">
        <v>176</v>
      </c>
      <c r="D111" s="6">
        <v>6.32</v>
      </c>
      <c r="E111" s="6"/>
      <c r="F111" s="5">
        <v>5.28689</v>
      </c>
      <c r="G111" s="5"/>
      <c r="H111" s="5">
        <f t="shared" si="12"/>
        <v>-1.0331100000000006</v>
      </c>
      <c r="I111" s="6">
        <f t="shared" si="13"/>
        <v>83.65332278481011</v>
      </c>
      <c r="J111" s="2"/>
      <c r="L111" s="37"/>
    </row>
    <row r="112" spans="1:12" ht="33" customHeight="1">
      <c r="A112" s="17"/>
      <c r="B112" s="64" t="s">
        <v>463</v>
      </c>
      <c r="C112" s="74" t="s">
        <v>177</v>
      </c>
      <c r="D112" s="6">
        <v>1.08</v>
      </c>
      <c r="E112" s="6"/>
      <c r="F112" s="5">
        <v>0.084</v>
      </c>
      <c r="G112" s="5"/>
      <c r="H112" s="5">
        <f t="shared" si="12"/>
        <v>-0.9960000000000001</v>
      </c>
      <c r="I112" s="6">
        <f t="shared" si="13"/>
        <v>7.777777777777778</v>
      </c>
      <c r="J112" s="2" t="s">
        <v>373</v>
      </c>
      <c r="L112" s="2"/>
    </row>
    <row r="113" spans="1:12" ht="16.5" customHeight="1">
      <c r="A113" s="19" t="s">
        <v>413</v>
      </c>
      <c r="B113" s="72" t="s">
        <v>317</v>
      </c>
      <c r="C113" s="55" t="s">
        <v>107</v>
      </c>
      <c r="D113" s="6">
        <f>SUM(D114:D120)</f>
        <v>7068.24</v>
      </c>
      <c r="E113" s="6">
        <f>SUM(E114:E119)</f>
        <v>3220.6</v>
      </c>
      <c r="F113" s="6">
        <f>SUM(F114:F120)</f>
        <v>4592.23036</v>
      </c>
      <c r="G113" s="6">
        <f>SUM(G114:G119)</f>
        <v>4585.77294</v>
      </c>
      <c r="H113" s="5">
        <f t="shared" si="12"/>
        <v>-2476.00964</v>
      </c>
      <c r="I113" s="6">
        <f t="shared" si="13"/>
        <v>64.96992688420313</v>
      </c>
      <c r="J113" s="2" t="s">
        <v>374</v>
      </c>
      <c r="L113" s="37"/>
    </row>
    <row r="114" spans="1:12" ht="47.25">
      <c r="A114" s="17" t="s">
        <v>318</v>
      </c>
      <c r="B114" s="64" t="s">
        <v>17</v>
      </c>
      <c r="C114" s="55" t="s">
        <v>178</v>
      </c>
      <c r="D114" s="6">
        <v>266.14</v>
      </c>
      <c r="E114" s="6">
        <v>768.1</v>
      </c>
      <c r="F114" s="5">
        <v>81.39709</v>
      </c>
      <c r="G114" s="5">
        <f>F114-L113</f>
        <v>81.39709</v>
      </c>
      <c r="H114" s="5">
        <f t="shared" si="12"/>
        <v>-184.74291</v>
      </c>
      <c r="I114" s="6">
        <f t="shared" si="13"/>
        <v>30.58431276771624</v>
      </c>
      <c r="J114" s="2"/>
      <c r="L114" s="37"/>
    </row>
    <row r="115" spans="1:12" ht="48" customHeight="1">
      <c r="A115" s="17" t="s">
        <v>318</v>
      </c>
      <c r="B115" s="64" t="s">
        <v>370</v>
      </c>
      <c r="C115" s="86" t="s">
        <v>219</v>
      </c>
      <c r="D115" s="6">
        <f>1054-400-54</f>
        <v>600</v>
      </c>
      <c r="E115" s="6">
        <v>852.5</v>
      </c>
      <c r="F115" s="5">
        <v>350</v>
      </c>
      <c r="G115" s="5">
        <f>F115-L114</f>
        <v>350</v>
      </c>
      <c r="H115" s="5">
        <f t="shared" si="12"/>
        <v>-250</v>
      </c>
      <c r="I115" s="6">
        <f t="shared" si="13"/>
        <v>58.333333333333336</v>
      </c>
      <c r="J115" s="2"/>
      <c r="L115" s="37"/>
    </row>
    <row r="116" spans="1:12" ht="34.5" customHeight="1">
      <c r="A116" s="17" t="s">
        <v>318</v>
      </c>
      <c r="B116" s="64" t="s">
        <v>40</v>
      </c>
      <c r="C116" s="86" t="s">
        <v>220</v>
      </c>
      <c r="D116" s="6">
        <v>200</v>
      </c>
      <c r="E116" s="6"/>
      <c r="F116" s="5">
        <v>0</v>
      </c>
      <c r="G116" s="5"/>
      <c r="H116" s="5">
        <f t="shared" si="12"/>
        <v>-200</v>
      </c>
      <c r="I116" s="6">
        <f t="shared" si="13"/>
        <v>0</v>
      </c>
      <c r="J116" s="2"/>
      <c r="L116" s="37"/>
    </row>
    <row r="117" spans="1:12" ht="47.25" customHeight="1">
      <c r="A117" s="17" t="s">
        <v>320</v>
      </c>
      <c r="B117" s="64" t="s">
        <v>15</v>
      </c>
      <c r="C117" s="86" t="s">
        <v>221</v>
      </c>
      <c r="D117" s="6">
        <v>98</v>
      </c>
      <c r="E117" s="6">
        <v>0</v>
      </c>
      <c r="F117" s="5">
        <v>98</v>
      </c>
      <c r="G117" s="5">
        <f>F117-L115</f>
        <v>98</v>
      </c>
      <c r="H117" s="5">
        <f t="shared" si="12"/>
        <v>0</v>
      </c>
      <c r="I117" s="6">
        <f t="shared" si="13"/>
        <v>100</v>
      </c>
      <c r="J117" s="2"/>
      <c r="L117" s="37"/>
    </row>
    <row r="118" spans="1:12" ht="18" customHeight="1" hidden="1">
      <c r="A118" s="17"/>
      <c r="B118" s="64" t="s">
        <v>321</v>
      </c>
      <c r="C118" s="63" t="s">
        <v>222</v>
      </c>
      <c r="D118" s="6">
        <v>0</v>
      </c>
      <c r="E118" s="6"/>
      <c r="F118" s="5"/>
      <c r="G118" s="5"/>
      <c r="H118" s="5">
        <f t="shared" si="12"/>
        <v>0</v>
      </c>
      <c r="I118" s="6" t="e">
        <f t="shared" si="13"/>
        <v>#DIV/0!</v>
      </c>
      <c r="J118" s="2"/>
      <c r="L118" s="37"/>
    </row>
    <row r="119" spans="1:12" ht="15.75">
      <c r="A119" s="17" t="s">
        <v>320</v>
      </c>
      <c r="B119" s="64" t="s">
        <v>321</v>
      </c>
      <c r="C119" s="63" t="s">
        <v>384</v>
      </c>
      <c r="D119" s="6">
        <v>5879.1</v>
      </c>
      <c r="E119" s="6">
        <v>1600</v>
      </c>
      <c r="F119" s="5">
        <v>4056.37585</v>
      </c>
      <c r="G119" s="5">
        <f>F119-L117</f>
        <v>4056.37585</v>
      </c>
      <c r="H119" s="5">
        <f t="shared" si="12"/>
        <v>-1822.7241500000005</v>
      </c>
      <c r="I119" s="6">
        <f t="shared" si="13"/>
        <v>68.99654453913013</v>
      </c>
      <c r="J119" s="2"/>
      <c r="L119" s="2"/>
    </row>
    <row r="120" spans="1:12" ht="31.5">
      <c r="A120" s="17"/>
      <c r="B120" s="64" t="s">
        <v>321</v>
      </c>
      <c r="C120" s="63" t="s">
        <v>453</v>
      </c>
      <c r="D120" s="6">
        <v>25</v>
      </c>
      <c r="E120" s="6"/>
      <c r="F120" s="5">
        <v>6.45742</v>
      </c>
      <c r="G120" s="5"/>
      <c r="H120" s="5">
        <f t="shared" si="12"/>
        <v>-18.54258</v>
      </c>
      <c r="I120" s="6">
        <f t="shared" si="13"/>
        <v>25.82968</v>
      </c>
      <c r="J120" s="2"/>
      <c r="L120" s="2"/>
    </row>
    <row r="121" spans="1:12" ht="15.75">
      <c r="A121" s="19" t="s">
        <v>322</v>
      </c>
      <c r="B121" s="72" t="s">
        <v>335</v>
      </c>
      <c r="C121" s="55" t="s">
        <v>109</v>
      </c>
      <c r="D121" s="6">
        <f>SUM(D122:D127)</f>
        <v>3556.8376400000006</v>
      </c>
      <c r="E121" s="6">
        <f>SUM(E122:E127)</f>
        <v>970.5999999999999</v>
      </c>
      <c r="F121" s="6">
        <f>SUM(F122:F127)</f>
        <v>2478.8317500000003</v>
      </c>
      <c r="G121" s="6" t="e">
        <f>SUM(G122:G127)</f>
        <v>#REF!</v>
      </c>
      <c r="H121" s="5">
        <f t="shared" si="12"/>
        <v>-1078.0058900000004</v>
      </c>
      <c r="I121" s="6">
        <f t="shared" si="13"/>
        <v>69.69201298713202</v>
      </c>
      <c r="J121" s="2"/>
      <c r="L121" s="37"/>
    </row>
    <row r="122" spans="1:12" ht="15.75">
      <c r="A122" s="17" t="s">
        <v>322</v>
      </c>
      <c r="B122" s="64" t="s">
        <v>444</v>
      </c>
      <c r="C122" s="74" t="s">
        <v>447</v>
      </c>
      <c r="D122" s="6">
        <v>435.63914</v>
      </c>
      <c r="E122" s="6">
        <v>123.4</v>
      </c>
      <c r="F122" s="5">
        <v>301.69112</v>
      </c>
      <c r="G122" s="5">
        <f>F122-L121</f>
        <v>301.69112</v>
      </c>
      <c r="H122" s="5">
        <f t="shared" si="12"/>
        <v>-133.94801999999999</v>
      </c>
      <c r="I122" s="6">
        <f t="shared" si="13"/>
        <v>69.25252859511201</v>
      </c>
      <c r="J122" s="2"/>
      <c r="L122" s="37"/>
    </row>
    <row r="123" spans="1:12" ht="15.75">
      <c r="A123" s="17" t="s">
        <v>322</v>
      </c>
      <c r="B123" s="64" t="s">
        <v>445</v>
      </c>
      <c r="C123" s="74" t="s">
        <v>449</v>
      </c>
      <c r="D123" s="6">
        <v>279.96924</v>
      </c>
      <c r="E123" s="6">
        <v>86.6</v>
      </c>
      <c r="F123" s="5">
        <v>210.05539</v>
      </c>
      <c r="G123" s="5">
        <f>F123-L122</f>
        <v>210.05539</v>
      </c>
      <c r="H123" s="5">
        <f t="shared" si="12"/>
        <v>-69.91385000000002</v>
      </c>
      <c r="I123" s="6">
        <f t="shared" si="13"/>
        <v>75.02802450726372</v>
      </c>
      <c r="J123" s="2"/>
      <c r="L123" s="37"/>
    </row>
    <row r="124" spans="1:12" ht="18" customHeight="1">
      <c r="A124" s="17" t="s">
        <v>322</v>
      </c>
      <c r="B124" s="64" t="s">
        <v>446</v>
      </c>
      <c r="C124" s="74" t="s">
        <v>448</v>
      </c>
      <c r="D124" s="6">
        <v>2273.85368</v>
      </c>
      <c r="E124" s="6">
        <v>581.9</v>
      </c>
      <c r="F124" s="5">
        <v>1590.83872</v>
      </c>
      <c r="G124" s="5" t="e">
        <f>F124-#REF!</f>
        <v>#REF!</v>
      </c>
      <c r="H124" s="5">
        <f t="shared" si="12"/>
        <v>-683.0149600000002</v>
      </c>
      <c r="I124" s="6">
        <f t="shared" si="13"/>
        <v>69.96222905600504</v>
      </c>
      <c r="J124" s="2"/>
      <c r="L124" s="37"/>
    </row>
    <row r="125" spans="1:12" ht="63" hidden="1">
      <c r="A125" s="17" t="s">
        <v>361</v>
      </c>
      <c r="B125" s="64" t="s">
        <v>432</v>
      </c>
      <c r="C125" s="74" t="s">
        <v>431</v>
      </c>
      <c r="D125" s="6">
        <v>0</v>
      </c>
      <c r="E125" s="6">
        <v>18.4</v>
      </c>
      <c r="F125" s="5"/>
      <c r="G125" s="5">
        <f>F125-L124</f>
        <v>0</v>
      </c>
      <c r="H125" s="5">
        <f t="shared" si="12"/>
        <v>0</v>
      </c>
      <c r="I125" s="6" t="e">
        <f t="shared" si="13"/>
        <v>#DIV/0!</v>
      </c>
      <c r="J125" s="2"/>
      <c r="L125" s="37"/>
    </row>
    <row r="126" spans="1:12" ht="15.75">
      <c r="A126" s="17" t="s">
        <v>322</v>
      </c>
      <c r="B126" s="64" t="s">
        <v>424</v>
      </c>
      <c r="C126" s="74" t="s">
        <v>397</v>
      </c>
      <c r="D126" s="6">
        <v>234.49958</v>
      </c>
      <c r="E126" s="6">
        <v>60.3</v>
      </c>
      <c r="F126" s="5">
        <v>180.66178</v>
      </c>
      <c r="G126" s="5">
        <f>F126-L125</f>
        <v>180.66178</v>
      </c>
      <c r="H126" s="5">
        <f t="shared" si="12"/>
        <v>-53.837800000000016</v>
      </c>
      <c r="I126" s="6">
        <f t="shared" si="13"/>
        <v>77.0414087735253</v>
      </c>
      <c r="J126" s="2"/>
      <c r="L126" s="37"/>
    </row>
    <row r="127" spans="1:12" ht="50.25" customHeight="1">
      <c r="A127" s="17" t="s">
        <v>425</v>
      </c>
      <c r="B127" s="64" t="s">
        <v>424</v>
      </c>
      <c r="C127" s="74" t="s">
        <v>35</v>
      </c>
      <c r="D127" s="6">
        <v>332.876</v>
      </c>
      <c r="E127" s="6">
        <v>100</v>
      </c>
      <c r="F127" s="5">
        <v>195.58474</v>
      </c>
      <c r="G127" s="5">
        <f>F127-L126</f>
        <v>195.58474</v>
      </c>
      <c r="H127" s="5">
        <f t="shared" si="12"/>
        <v>-137.29125999999997</v>
      </c>
      <c r="I127" s="6">
        <f t="shared" si="13"/>
        <v>58.75603528040473</v>
      </c>
      <c r="J127" s="2"/>
      <c r="L127" s="2"/>
    </row>
    <row r="128" spans="1:12" ht="19.5" customHeight="1">
      <c r="A128" s="17" t="s">
        <v>414</v>
      </c>
      <c r="B128" s="64" t="s">
        <v>371</v>
      </c>
      <c r="C128" s="74" t="s">
        <v>110</v>
      </c>
      <c r="D128" s="6">
        <f>SUM(D129:D132)</f>
        <v>390</v>
      </c>
      <c r="E128" s="6">
        <f>SUM(E129:E132)</f>
        <v>141.2</v>
      </c>
      <c r="F128" s="6">
        <f>SUM(F129:F132)</f>
        <v>274.28732</v>
      </c>
      <c r="G128" s="6">
        <f>SUM(G129:G131)</f>
        <v>10</v>
      </c>
      <c r="H128" s="5">
        <f t="shared" si="12"/>
        <v>-115.71267999999998</v>
      </c>
      <c r="I128" s="6">
        <f t="shared" si="13"/>
        <v>70.33008205128206</v>
      </c>
      <c r="J128" s="2"/>
      <c r="L128" s="38"/>
    </row>
    <row r="129" spans="1:12" ht="15" customHeight="1" hidden="1">
      <c r="A129" s="23" t="s">
        <v>342</v>
      </c>
      <c r="B129" s="50" t="s">
        <v>341</v>
      </c>
      <c r="C129" s="7" t="s">
        <v>470</v>
      </c>
      <c r="D129" s="1">
        <v>0</v>
      </c>
      <c r="E129" s="1">
        <v>21</v>
      </c>
      <c r="F129" s="8">
        <v>0</v>
      </c>
      <c r="G129" s="5">
        <f>F129-L128</f>
        <v>0</v>
      </c>
      <c r="H129" s="4">
        <f t="shared" si="12"/>
        <v>0</v>
      </c>
      <c r="I129" s="1" t="e">
        <f t="shared" si="13"/>
        <v>#DIV/0!</v>
      </c>
      <c r="J129" s="2"/>
      <c r="L129" s="38"/>
    </row>
    <row r="130" spans="1:12" ht="23.25" customHeight="1" hidden="1">
      <c r="A130" s="23" t="s">
        <v>382</v>
      </c>
      <c r="B130" s="50" t="s">
        <v>383</v>
      </c>
      <c r="C130" s="7" t="s">
        <v>471</v>
      </c>
      <c r="D130" s="1">
        <v>0</v>
      </c>
      <c r="E130" s="1">
        <v>120.2</v>
      </c>
      <c r="F130" s="8">
        <v>0</v>
      </c>
      <c r="G130" s="5">
        <f>F130-L129</f>
        <v>0</v>
      </c>
      <c r="H130" s="4">
        <f t="shared" si="12"/>
        <v>0</v>
      </c>
      <c r="I130" s="1" t="e">
        <f t="shared" si="13"/>
        <v>#DIV/0!</v>
      </c>
      <c r="J130" s="2"/>
      <c r="L130" s="37"/>
    </row>
    <row r="131" spans="1:12" ht="31.5" customHeight="1">
      <c r="A131" s="23" t="s">
        <v>382</v>
      </c>
      <c r="B131" s="50" t="s">
        <v>383</v>
      </c>
      <c r="C131" s="7" t="s">
        <v>179</v>
      </c>
      <c r="D131" s="1">
        <v>10</v>
      </c>
      <c r="E131" s="1"/>
      <c r="F131" s="4">
        <v>10</v>
      </c>
      <c r="G131" s="5">
        <f>F131-L130</f>
        <v>10</v>
      </c>
      <c r="H131" s="4">
        <f t="shared" si="12"/>
        <v>0</v>
      </c>
      <c r="I131" s="1">
        <f t="shared" si="13"/>
        <v>100</v>
      </c>
      <c r="J131" s="2"/>
      <c r="L131" s="2"/>
    </row>
    <row r="132" spans="1:12" ht="47.25">
      <c r="A132" s="23"/>
      <c r="B132" s="50" t="s">
        <v>42</v>
      </c>
      <c r="C132" s="63" t="s">
        <v>223</v>
      </c>
      <c r="D132" s="1">
        <v>380</v>
      </c>
      <c r="E132" s="1"/>
      <c r="F132" s="4">
        <v>264.28732</v>
      </c>
      <c r="G132" s="5"/>
      <c r="H132" s="4">
        <f t="shared" si="12"/>
        <v>-115.71267999999998</v>
      </c>
      <c r="I132" s="1">
        <f t="shared" si="13"/>
        <v>69.54929473684211</v>
      </c>
      <c r="J132" s="2"/>
      <c r="L132" s="2"/>
    </row>
    <row r="133" spans="1:12" ht="15.75">
      <c r="A133" s="19" t="s">
        <v>323</v>
      </c>
      <c r="B133" s="72" t="s">
        <v>324</v>
      </c>
      <c r="C133" s="55" t="s">
        <v>111</v>
      </c>
      <c r="D133" s="6">
        <f>D135+D136+D134+D137</f>
        <v>1451.2573699999998</v>
      </c>
      <c r="E133" s="6">
        <f>E135+E136+E134+E137</f>
        <v>336.9</v>
      </c>
      <c r="F133" s="6">
        <f>F135+F136+F134+F137</f>
        <v>903.6898000000001</v>
      </c>
      <c r="G133" s="6">
        <f>G135+G136</f>
        <v>844.89075</v>
      </c>
      <c r="H133" s="5">
        <f t="shared" si="12"/>
        <v>-547.5675699999997</v>
      </c>
      <c r="I133" s="6">
        <f t="shared" si="13"/>
        <v>62.26943743272775</v>
      </c>
      <c r="J133" s="2"/>
      <c r="L133" s="37"/>
    </row>
    <row r="134" spans="1:12" ht="48" customHeight="1">
      <c r="A134" s="19" t="s">
        <v>323</v>
      </c>
      <c r="B134" s="49" t="s">
        <v>21</v>
      </c>
      <c r="C134" s="55" t="s">
        <v>193</v>
      </c>
      <c r="D134" s="1">
        <v>45</v>
      </c>
      <c r="E134" s="1"/>
      <c r="F134" s="1">
        <v>24.28222</v>
      </c>
      <c r="G134" s="1"/>
      <c r="H134" s="4">
        <f t="shared" si="12"/>
        <v>-20.71778</v>
      </c>
      <c r="I134" s="1">
        <f t="shared" si="13"/>
        <v>53.96048888888889</v>
      </c>
      <c r="J134" s="2"/>
      <c r="L134" s="37"/>
    </row>
    <row r="135" spans="1:12" ht="62.25" customHeight="1">
      <c r="A135" s="19" t="s">
        <v>323</v>
      </c>
      <c r="B135" s="49" t="s">
        <v>415</v>
      </c>
      <c r="C135" s="7" t="s">
        <v>224</v>
      </c>
      <c r="D135" s="1">
        <v>70</v>
      </c>
      <c r="E135" s="1">
        <v>15</v>
      </c>
      <c r="F135" s="4">
        <v>48.39206</v>
      </c>
      <c r="G135" s="5">
        <f>F135-L133</f>
        <v>48.39206</v>
      </c>
      <c r="H135" s="4">
        <f aca="true" t="shared" si="14" ref="H135:H163">F135-D135</f>
        <v>-21.60794</v>
      </c>
      <c r="I135" s="1">
        <f aca="true" t="shared" si="15" ref="I135:I163">F135/D135*100</f>
        <v>69.13151428571429</v>
      </c>
      <c r="J135" s="2"/>
      <c r="L135" s="37"/>
    </row>
    <row r="136" spans="1:12" ht="31.5">
      <c r="A136" s="19" t="s">
        <v>323</v>
      </c>
      <c r="B136" s="49" t="s">
        <v>325</v>
      </c>
      <c r="C136" s="7" t="s">
        <v>427</v>
      </c>
      <c r="D136" s="1">
        <v>1275.39737</v>
      </c>
      <c r="E136" s="1">
        <v>321.9</v>
      </c>
      <c r="F136" s="4">
        <v>796.49869</v>
      </c>
      <c r="G136" s="5">
        <f>F136-L135</f>
        <v>796.49869</v>
      </c>
      <c r="H136" s="4">
        <f t="shared" si="14"/>
        <v>-478.8986799999999</v>
      </c>
      <c r="I136" s="1">
        <f t="shared" si="15"/>
        <v>62.45102183329734</v>
      </c>
      <c r="J136" s="2"/>
      <c r="L136" s="37"/>
    </row>
    <row r="137" spans="1:12" ht="46.5" customHeight="1">
      <c r="A137" s="19" t="s">
        <v>323</v>
      </c>
      <c r="B137" s="49" t="s">
        <v>22</v>
      </c>
      <c r="C137" s="55" t="s">
        <v>194</v>
      </c>
      <c r="D137" s="1">
        <v>60.86</v>
      </c>
      <c r="E137" s="1"/>
      <c r="F137" s="4">
        <v>34.51683</v>
      </c>
      <c r="G137" s="5"/>
      <c r="H137" s="4">
        <f t="shared" si="14"/>
        <v>-26.34317</v>
      </c>
      <c r="I137" s="1">
        <f t="shared" si="15"/>
        <v>56.71513309234308</v>
      </c>
      <c r="J137" s="2"/>
      <c r="L137" s="37"/>
    </row>
    <row r="138" spans="1:12" ht="27.75" customHeight="1" hidden="1">
      <c r="A138" s="17" t="s">
        <v>343</v>
      </c>
      <c r="B138" s="48" t="s">
        <v>340</v>
      </c>
      <c r="C138" s="24" t="s">
        <v>7</v>
      </c>
      <c r="D138" s="1"/>
      <c r="E138" s="1"/>
      <c r="F138" s="4"/>
      <c r="G138" s="5">
        <f>F138-L136</f>
        <v>0</v>
      </c>
      <c r="H138" s="4">
        <f t="shared" si="14"/>
        <v>0</v>
      </c>
      <c r="I138" s="1" t="e">
        <f t="shared" si="15"/>
        <v>#DIV/0!</v>
      </c>
      <c r="J138" s="2"/>
      <c r="L138" s="37"/>
    </row>
    <row r="139" spans="1:12" ht="31.5" customHeight="1">
      <c r="A139" s="17" t="s">
        <v>416</v>
      </c>
      <c r="B139" s="64" t="s">
        <v>464</v>
      </c>
      <c r="C139" s="87" t="s">
        <v>199</v>
      </c>
      <c r="D139" s="88">
        <f>D140</f>
        <v>55</v>
      </c>
      <c r="E139" s="88">
        <f>E140</f>
        <v>50</v>
      </c>
      <c r="F139" s="88">
        <f>F140</f>
        <v>0</v>
      </c>
      <c r="G139" s="89">
        <f>G140</f>
        <v>0</v>
      </c>
      <c r="H139" s="5">
        <f t="shared" si="14"/>
        <v>-55</v>
      </c>
      <c r="I139" s="6">
        <f t="shared" si="15"/>
        <v>0</v>
      </c>
      <c r="J139" s="2"/>
      <c r="L139" s="37"/>
    </row>
    <row r="140" spans="1:12" ht="29.25" customHeight="1">
      <c r="A140" s="19" t="s">
        <v>416</v>
      </c>
      <c r="B140" s="49" t="s">
        <v>417</v>
      </c>
      <c r="C140" s="7" t="s">
        <v>202</v>
      </c>
      <c r="D140" s="9">
        <v>55</v>
      </c>
      <c r="E140" s="9">
        <v>50</v>
      </c>
      <c r="F140" s="4">
        <v>0</v>
      </c>
      <c r="G140" s="5">
        <f>F140-L139</f>
        <v>0</v>
      </c>
      <c r="H140" s="4">
        <f t="shared" si="14"/>
        <v>-55</v>
      </c>
      <c r="I140" s="1">
        <f t="shared" si="15"/>
        <v>0</v>
      </c>
      <c r="J140" s="2"/>
      <c r="L140" s="2"/>
    </row>
    <row r="141" spans="1:12" ht="30" customHeight="1" hidden="1">
      <c r="A141" s="19" t="s">
        <v>416</v>
      </c>
      <c r="B141" s="49" t="s">
        <v>478</v>
      </c>
      <c r="C141" s="7" t="s">
        <v>480</v>
      </c>
      <c r="D141" s="9"/>
      <c r="E141" s="9"/>
      <c r="F141" s="4"/>
      <c r="G141" s="5"/>
      <c r="H141" s="4">
        <f t="shared" si="14"/>
        <v>0</v>
      </c>
      <c r="I141" s="1" t="e">
        <f t="shared" si="15"/>
        <v>#DIV/0!</v>
      </c>
      <c r="J141" s="2"/>
      <c r="L141" s="2"/>
    </row>
    <row r="142" spans="1:12" ht="31.5">
      <c r="A142" s="17"/>
      <c r="B142" s="64" t="s">
        <v>367</v>
      </c>
      <c r="C142" s="74" t="s">
        <v>198</v>
      </c>
      <c r="D142" s="6">
        <f>SUM(D143:D147)</f>
        <v>923.5409999999999</v>
      </c>
      <c r="E142" s="6">
        <f>SUM(E143:E147)</f>
        <v>447.1</v>
      </c>
      <c r="F142" s="6">
        <f>SUM(F143:F147)</f>
        <v>699.8752400000001</v>
      </c>
      <c r="G142" s="6">
        <f>SUM(G143:G145)</f>
        <v>386.72204</v>
      </c>
      <c r="H142" s="5">
        <f t="shared" si="14"/>
        <v>-223.66575999999986</v>
      </c>
      <c r="I142" s="6">
        <f t="shared" si="15"/>
        <v>75.78171840773719</v>
      </c>
      <c r="J142" s="2"/>
      <c r="L142" s="37"/>
    </row>
    <row r="143" spans="1:12" ht="50.25" customHeight="1" hidden="1">
      <c r="A143" s="17" t="s">
        <v>326</v>
      </c>
      <c r="B143" s="64" t="s">
        <v>327</v>
      </c>
      <c r="C143" s="55" t="s">
        <v>9</v>
      </c>
      <c r="D143" s="6">
        <v>0</v>
      </c>
      <c r="E143" s="6">
        <v>140</v>
      </c>
      <c r="F143" s="5"/>
      <c r="G143" s="5">
        <f>F143-L142</f>
        <v>0</v>
      </c>
      <c r="H143" s="5">
        <f t="shared" si="14"/>
        <v>0</v>
      </c>
      <c r="I143" s="6" t="e">
        <f t="shared" si="15"/>
        <v>#DIV/0!</v>
      </c>
      <c r="J143" s="2"/>
      <c r="L143" s="37"/>
    </row>
    <row r="144" spans="1:12" ht="48" customHeight="1">
      <c r="A144" s="17" t="s">
        <v>326</v>
      </c>
      <c r="B144" s="64" t="s">
        <v>327</v>
      </c>
      <c r="C144" s="55" t="s">
        <v>195</v>
      </c>
      <c r="D144" s="6">
        <v>483.546</v>
      </c>
      <c r="E144" s="6">
        <v>292.6</v>
      </c>
      <c r="F144" s="5">
        <v>373.08104</v>
      </c>
      <c r="G144" s="5">
        <f>F144-L143</f>
        <v>373.08104</v>
      </c>
      <c r="H144" s="5">
        <f t="shared" si="14"/>
        <v>-110.46496000000002</v>
      </c>
      <c r="I144" s="6">
        <f t="shared" si="15"/>
        <v>77.15523238740471</v>
      </c>
      <c r="J144" s="2"/>
      <c r="L144" s="37"/>
    </row>
    <row r="145" spans="1:12" ht="48.75" customHeight="1">
      <c r="A145" s="17" t="s">
        <v>326</v>
      </c>
      <c r="B145" s="64" t="s">
        <v>389</v>
      </c>
      <c r="C145" s="63" t="s">
        <v>196</v>
      </c>
      <c r="D145" s="6">
        <v>18</v>
      </c>
      <c r="E145" s="6">
        <v>12.5</v>
      </c>
      <c r="F145" s="5">
        <v>13.641</v>
      </c>
      <c r="G145" s="5">
        <f>F145-L144</f>
        <v>13.641</v>
      </c>
      <c r="H145" s="5">
        <f t="shared" si="14"/>
        <v>-4.359</v>
      </c>
      <c r="I145" s="6">
        <f t="shared" si="15"/>
        <v>75.78333333333333</v>
      </c>
      <c r="J145" s="2"/>
      <c r="L145" s="37"/>
    </row>
    <row r="146" spans="1:12" ht="31.5" hidden="1">
      <c r="A146" s="17" t="s">
        <v>328</v>
      </c>
      <c r="B146" s="64" t="s">
        <v>435</v>
      </c>
      <c r="C146" s="63" t="s">
        <v>10</v>
      </c>
      <c r="D146" s="6">
        <v>0</v>
      </c>
      <c r="E146" s="6">
        <v>2</v>
      </c>
      <c r="F146" s="5">
        <v>0</v>
      </c>
      <c r="G146" s="5">
        <f>F146-L145</f>
        <v>0</v>
      </c>
      <c r="H146" s="5">
        <f t="shared" si="14"/>
        <v>0</v>
      </c>
      <c r="I146" s="6" t="e">
        <f t="shared" si="15"/>
        <v>#DIV/0!</v>
      </c>
      <c r="J146" s="2"/>
      <c r="L146" s="37"/>
    </row>
    <row r="147" spans="1:12" ht="49.5" customHeight="1">
      <c r="A147" s="17" t="s">
        <v>326</v>
      </c>
      <c r="B147" s="64" t="s">
        <v>327</v>
      </c>
      <c r="C147" s="63" t="s">
        <v>225</v>
      </c>
      <c r="D147" s="6">
        <v>421.995</v>
      </c>
      <c r="E147" s="6"/>
      <c r="F147" s="5">
        <v>313.1532</v>
      </c>
      <c r="G147" s="5"/>
      <c r="H147" s="5">
        <f t="shared" si="14"/>
        <v>-108.84179999999998</v>
      </c>
      <c r="I147" s="6">
        <f t="shared" si="15"/>
        <v>74.20779867060037</v>
      </c>
      <c r="J147" s="2"/>
      <c r="L147" s="37"/>
    </row>
    <row r="148" spans="1:12" ht="31.5">
      <c r="A148" s="17"/>
      <c r="B148" s="64" t="s">
        <v>48</v>
      </c>
      <c r="C148" s="63" t="s">
        <v>197</v>
      </c>
      <c r="D148" s="6">
        <f>D149+D150+D151+D154+D152+D153</f>
        <v>323.14347</v>
      </c>
      <c r="E148" s="6">
        <f>E149+E150+E151+E154+E152+E153</f>
        <v>10</v>
      </c>
      <c r="F148" s="6">
        <f>F149+F150+F151+F154+F152+F153</f>
        <v>268.50195</v>
      </c>
      <c r="G148" s="5"/>
      <c r="H148" s="5">
        <f t="shared" si="14"/>
        <v>-54.64151999999996</v>
      </c>
      <c r="I148" s="6">
        <f t="shared" si="15"/>
        <v>83.09063153898795</v>
      </c>
      <c r="J148" s="2"/>
      <c r="L148" s="37"/>
    </row>
    <row r="149" spans="1:12" ht="65.25" customHeight="1">
      <c r="A149" s="17"/>
      <c r="B149" s="64" t="s">
        <v>435</v>
      </c>
      <c r="C149" s="63" t="s">
        <v>129</v>
      </c>
      <c r="D149" s="6">
        <f>20.385-5</f>
        <v>15.385000000000002</v>
      </c>
      <c r="E149" s="6"/>
      <c r="F149" s="5">
        <v>0.505</v>
      </c>
      <c r="G149" s="5"/>
      <c r="H149" s="5">
        <f t="shared" si="14"/>
        <v>-14.88</v>
      </c>
      <c r="I149" s="6">
        <f t="shared" si="15"/>
        <v>3.282417939551511</v>
      </c>
      <c r="J149" s="2"/>
      <c r="L149" s="37"/>
    </row>
    <row r="150" spans="1:12" ht="63">
      <c r="A150" s="17" t="s">
        <v>328</v>
      </c>
      <c r="B150" s="64" t="s">
        <v>435</v>
      </c>
      <c r="C150" s="63" t="s">
        <v>201</v>
      </c>
      <c r="D150" s="6">
        <f>20.75847-5</f>
        <v>15.758469999999999</v>
      </c>
      <c r="E150" s="6">
        <v>10</v>
      </c>
      <c r="F150" s="5">
        <v>3.42247</v>
      </c>
      <c r="G150" s="5">
        <f>F150-L146</f>
        <v>3.42247</v>
      </c>
      <c r="H150" s="5">
        <f t="shared" si="14"/>
        <v>-12.335999999999999</v>
      </c>
      <c r="I150" s="6">
        <f t="shared" si="15"/>
        <v>21.71828864096578</v>
      </c>
      <c r="J150" s="2"/>
      <c r="L150" s="37"/>
    </row>
    <row r="151" spans="1:12" ht="47.25">
      <c r="A151" s="25" t="s">
        <v>328</v>
      </c>
      <c r="B151" s="64" t="s">
        <v>435</v>
      </c>
      <c r="C151" s="63" t="s">
        <v>226</v>
      </c>
      <c r="D151" s="6">
        <v>30</v>
      </c>
      <c r="E151" s="6"/>
      <c r="F151" s="5">
        <v>7.8</v>
      </c>
      <c r="G151" s="5"/>
      <c r="H151" s="5">
        <f t="shared" si="14"/>
        <v>-22.2</v>
      </c>
      <c r="I151" s="6">
        <f t="shared" si="15"/>
        <v>26</v>
      </c>
      <c r="J151" s="2"/>
      <c r="L151" s="37"/>
    </row>
    <row r="152" spans="1:12" ht="63.75" customHeight="1">
      <c r="A152" s="25"/>
      <c r="B152" s="64" t="s">
        <v>435</v>
      </c>
      <c r="C152" s="63" t="s">
        <v>201</v>
      </c>
      <c r="D152" s="6">
        <v>238</v>
      </c>
      <c r="E152" s="6"/>
      <c r="F152" s="5">
        <v>237.97448</v>
      </c>
      <c r="G152" s="5"/>
      <c r="H152" s="5">
        <f t="shared" si="14"/>
        <v>-0.02552000000000021</v>
      </c>
      <c r="I152" s="6">
        <f t="shared" si="15"/>
        <v>99.98927731092438</v>
      </c>
      <c r="J152" s="2"/>
      <c r="L152" s="37"/>
    </row>
    <row r="153" spans="1:12" ht="31.5">
      <c r="A153" s="25"/>
      <c r="B153" s="64" t="s">
        <v>435</v>
      </c>
      <c r="C153" s="63" t="s">
        <v>130</v>
      </c>
      <c r="D153" s="6">
        <v>19</v>
      </c>
      <c r="E153" s="6"/>
      <c r="F153" s="5">
        <v>18.8</v>
      </c>
      <c r="G153" s="5"/>
      <c r="H153" s="5">
        <f t="shared" si="14"/>
        <v>-0.1999999999999993</v>
      </c>
      <c r="I153" s="6">
        <f t="shared" si="15"/>
        <v>98.94736842105264</v>
      </c>
      <c r="J153" s="2"/>
      <c r="L153" s="37"/>
    </row>
    <row r="154" spans="1:12" ht="30.75" customHeight="1">
      <c r="A154" s="25" t="s">
        <v>328</v>
      </c>
      <c r="B154" s="64" t="s">
        <v>203</v>
      </c>
      <c r="C154" s="63" t="s">
        <v>204</v>
      </c>
      <c r="D154" s="6">
        <v>5</v>
      </c>
      <c r="E154" s="6"/>
      <c r="F154" s="5">
        <v>0</v>
      </c>
      <c r="G154" s="5"/>
      <c r="H154" s="5">
        <f t="shared" si="14"/>
        <v>-5</v>
      </c>
      <c r="I154" s="6">
        <f t="shared" si="15"/>
        <v>0</v>
      </c>
      <c r="J154" s="2"/>
      <c r="L154" s="37"/>
    </row>
    <row r="155" spans="1:12" ht="32.25" customHeight="1">
      <c r="A155" s="17" t="s">
        <v>418</v>
      </c>
      <c r="B155" s="64" t="s">
        <v>465</v>
      </c>
      <c r="C155" s="55" t="s">
        <v>207</v>
      </c>
      <c r="D155" s="6">
        <f>D156+D157</f>
        <v>288.4</v>
      </c>
      <c r="E155" s="6">
        <f>E156+E157</f>
        <v>119.7</v>
      </c>
      <c r="F155" s="6">
        <f>F156+F157</f>
        <v>199.34977999999998</v>
      </c>
      <c r="G155" s="5"/>
      <c r="H155" s="5">
        <f t="shared" si="14"/>
        <v>-89.05022</v>
      </c>
      <c r="I155" s="6">
        <f t="shared" si="15"/>
        <v>69.12266990291262</v>
      </c>
      <c r="J155" s="2"/>
      <c r="L155" s="37"/>
    </row>
    <row r="156" spans="1:12" ht="60" customHeight="1">
      <c r="A156" s="17" t="s">
        <v>418</v>
      </c>
      <c r="B156" s="64" t="s">
        <v>347</v>
      </c>
      <c r="C156" s="55" t="s">
        <v>208</v>
      </c>
      <c r="D156" s="6">
        <f>42.5-3-5</f>
        <v>34.5</v>
      </c>
      <c r="E156" s="6">
        <v>20</v>
      </c>
      <c r="F156" s="5">
        <v>13.28427</v>
      </c>
      <c r="G156" s="5">
        <f>F156-L155</f>
        <v>13.28427</v>
      </c>
      <c r="H156" s="5">
        <f t="shared" si="14"/>
        <v>-21.21573</v>
      </c>
      <c r="I156" s="6">
        <f t="shared" si="15"/>
        <v>38.50513043478261</v>
      </c>
      <c r="J156" s="2"/>
      <c r="L156" s="37"/>
    </row>
    <row r="157" spans="1:12" ht="31.5">
      <c r="A157" s="17" t="s">
        <v>418</v>
      </c>
      <c r="B157" s="64" t="s">
        <v>339</v>
      </c>
      <c r="C157" s="55" t="s">
        <v>472</v>
      </c>
      <c r="D157" s="6">
        <v>253.9</v>
      </c>
      <c r="E157" s="6">
        <v>99.7</v>
      </c>
      <c r="F157" s="5">
        <v>186.06551</v>
      </c>
      <c r="G157" s="5">
        <f>F157-L156</f>
        <v>186.06551</v>
      </c>
      <c r="H157" s="5">
        <f t="shared" si="14"/>
        <v>-67.83449000000002</v>
      </c>
      <c r="I157" s="6">
        <f t="shared" si="15"/>
        <v>73.28298936589208</v>
      </c>
      <c r="J157" s="2"/>
      <c r="L157" s="37"/>
    </row>
    <row r="158" spans="1:12" ht="15" customHeight="1">
      <c r="A158" s="17"/>
      <c r="B158" s="64" t="s">
        <v>466</v>
      </c>
      <c r="C158" s="55" t="s">
        <v>209</v>
      </c>
      <c r="D158" s="6">
        <f>D160+D169+D171+D172+D173+D174+D175+D176+D179+D178+D170+D161+D177</f>
        <v>500.37134</v>
      </c>
      <c r="E158" s="6">
        <f>E160+E169+E171+E172+E173+E174+E175+E176+E179+E178+E170+E161+E177</f>
        <v>0</v>
      </c>
      <c r="F158" s="6">
        <f>F160+F169+F171+F172+F173+F174+F175+F176+F179+F178+F170+F161+F177</f>
        <v>301.6494</v>
      </c>
      <c r="G158" s="6" t="e">
        <f>G159+G160+G161+G162+G165+G166+G171+G172+G179+#REF!+#REF!+#REF!</f>
        <v>#REF!</v>
      </c>
      <c r="H158" s="5">
        <f t="shared" si="14"/>
        <v>-198.72193999999996</v>
      </c>
      <c r="I158" s="6">
        <f t="shared" si="15"/>
        <v>60.28510745639429</v>
      </c>
      <c r="J158" s="2"/>
      <c r="L158" s="37"/>
    </row>
    <row r="159" spans="1:12" ht="13.5" customHeight="1" hidden="1">
      <c r="A159" s="17" t="s">
        <v>329</v>
      </c>
      <c r="B159" s="48" t="s">
        <v>330</v>
      </c>
      <c r="C159" s="18" t="s">
        <v>364</v>
      </c>
      <c r="D159" s="1">
        <v>0</v>
      </c>
      <c r="E159" s="1">
        <v>60</v>
      </c>
      <c r="F159" s="4">
        <v>0</v>
      </c>
      <c r="G159" s="5">
        <f>F159-L158</f>
        <v>0</v>
      </c>
      <c r="H159" s="4">
        <f t="shared" si="14"/>
        <v>0</v>
      </c>
      <c r="I159" s="1" t="e">
        <f t="shared" si="15"/>
        <v>#DIV/0!</v>
      </c>
      <c r="J159" s="2"/>
      <c r="L159" s="2"/>
    </row>
    <row r="160" spans="1:12" ht="47.25" hidden="1">
      <c r="A160" s="17" t="s">
        <v>329</v>
      </c>
      <c r="B160" s="64" t="s">
        <v>428</v>
      </c>
      <c r="C160" s="55" t="s">
        <v>210</v>
      </c>
      <c r="D160" s="6"/>
      <c r="E160" s="6"/>
      <c r="F160" s="6"/>
      <c r="G160" s="5">
        <f>F160-L159</f>
        <v>0</v>
      </c>
      <c r="H160" s="5">
        <f t="shared" si="14"/>
        <v>0</v>
      </c>
      <c r="I160" s="6" t="e">
        <f t="shared" si="15"/>
        <v>#DIV/0!</v>
      </c>
      <c r="J160" s="2"/>
      <c r="L160" s="37"/>
    </row>
    <row r="161" spans="1:12" ht="47.25">
      <c r="A161" s="17" t="s">
        <v>332</v>
      </c>
      <c r="B161" s="48" t="s">
        <v>428</v>
      </c>
      <c r="C161" s="7" t="s">
        <v>211</v>
      </c>
      <c r="D161" s="1">
        <v>67.5</v>
      </c>
      <c r="E161" s="1"/>
      <c r="F161" s="4">
        <v>46.90513</v>
      </c>
      <c r="G161" s="5">
        <f>F161-L160</f>
        <v>46.90513</v>
      </c>
      <c r="H161" s="4">
        <f t="shared" si="14"/>
        <v>-20.59487</v>
      </c>
      <c r="I161" s="1">
        <f t="shared" si="15"/>
        <v>69.48908148148149</v>
      </c>
      <c r="J161" s="2"/>
      <c r="L161" s="37"/>
    </row>
    <row r="162" spans="1:12" ht="0.75" customHeight="1">
      <c r="A162" s="19" t="s">
        <v>332</v>
      </c>
      <c r="B162" s="49" t="s">
        <v>338</v>
      </c>
      <c r="C162" s="26" t="s">
        <v>3</v>
      </c>
      <c r="D162" s="1">
        <v>0</v>
      </c>
      <c r="E162" s="1"/>
      <c r="F162" s="4"/>
      <c r="G162" s="5">
        <f>F162-L161</f>
        <v>0</v>
      </c>
      <c r="H162" s="4">
        <f t="shared" si="14"/>
        <v>0</v>
      </c>
      <c r="I162" s="1" t="e">
        <f t="shared" si="15"/>
        <v>#DIV/0!</v>
      </c>
      <c r="J162" s="2"/>
      <c r="L162" s="2"/>
    </row>
    <row r="163" spans="1:12" ht="31.5" hidden="1">
      <c r="A163" s="17" t="s">
        <v>329</v>
      </c>
      <c r="B163" s="48" t="s">
        <v>331</v>
      </c>
      <c r="C163" s="7" t="s">
        <v>437</v>
      </c>
      <c r="D163" s="1"/>
      <c r="E163" s="1">
        <v>0</v>
      </c>
      <c r="F163" s="1"/>
      <c r="G163" s="5">
        <f>F163-L162</f>
        <v>0</v>
      </c>
      <c r="H163" s="4">
        <f t="shared" si="14"/>
        <v>0</v>
      </c>
      <c r="I163" s="1" t="e">
        <f t="shared" si="15"/>
        <v>#DIV/0!</v>
      </c>
      <c r="J163" s="2"/>
      <c r="L163" s="2"/>
    </row>
    <row r="164" spans="1:12" ht="15.75" hidden="1">
      <c r="A164" s="25"/>
      <c r="B164" s="51"/>
      <c r="C164" s="7"/>
      <c r="D164" s="10"/>
      <c r="E164" s="10"/>
      <c r="F164" s="10"/>
      <c r="G164" s="8"/>
      <c r="H164" s="8"/>
      <c r="I164" s="10"/>
      <c r="J164" s="2"/>
      <c r="L164" s="2"/>
    </row>
    <row r="165" spans="1:12" ht="47.25" hidden="1">
      <c r="A165" s="17" t="s">
        <v>329</v>
      </c>
      <c r="B165" s="48" t="s">
        <v>331</v>
      </c>
      <c r="C165" s="7" t="s">
        <v>5</v>
      </c>
      <c r="D165" s="6"/>
      <c r="E165" s="1"/>
      <c r="F165" s="1"/>
      <c r="G165" s="5"/>
      <c r="H165" s="4">
        <f aca="true" t="shared" si="16" ref="H165:H184">F165-D165</f>
        <v>0</v>
      </c>
      <c r="I165" s="1" t="e">
        <f aca="true" t="shared" si="17" ref="I165:I184">F165/D165*100</f>
        <v>#DIV/0!</v>
      </c>
      <c r="J165" s="2"/>
      <c r="L165" s="2"/>
    </row>
    <row r="166" spans="1:12" ht="15.75" hidden="1">
      <c r="A166" s="17" t="s">
        <v>329</v>
      </c>
      <c r="B166" s="48" t="s">
        <v>331</v>
      </c>
      <c r="C166" s="7" t="s">
        <v>4</v>
      </c>
      <c r="D166" s="6"/>
      <c r="E166" s="1">
        <v>0.3</v>
      </c>
      <c r="F166" s="1"/>
      <c r="G166" s="5">
        <f>F166-L164</f>
        <v>0</v>
      </c>
      <c r="H166" s="4">
        <f t="shared" si="16"/>
        <v>0</v>
      </c>
      <c r="I166" s="1" t="e">
        <f t="shared" si="17"/>
        <v>#DIV/0!</v>
      </c>
      <c r="J166" s="2"/>
      <c r="L166" s="2"/>
    </row>
    <row r="167" spans="1:12" ht="15.75" hidden="1">
      <c r="A167" s="17" t="s">
        <v>329</v>
      </c>
      <c r="B167" s="48" t="s">
        <v>331</v>
      </c>
      <c r="C167" s="7" t="s">
        <v>450</v>
      </c>
      <c r="D167" s="11">
        <v>0</v>
      </c>
      <c r="E167" s="1">
        <v>2.5</v>
      </c>
      <c r="F167" s="1">
        <v>0</v>
      </c>
      <c r="G167" s="5">
        <f>F167-L166</f>
        <v>0</v>
      </c>
      <c r="H167" s="4">
        <f t="shared" si="16"/>
        <v>0</v>
      </c>
      <c r="I167" s="1" t="e">
        <f t="shared" si="17"/>
        <v>#DIV/0!</v>
      </c>
      <c r="J167" s="2"/>
      <c r="L167" s="2"/>
    </row>
    <row r="168" spans="1:12" ht="31.5" hidden="1">
      <c r="A168" s="17" t="s">
        <v>329</v>
      </c>
      <c r="B168" s="48" t="s">
        <v>331</v>
      </c>
      <c r="C168" s="7" t="s">
        <v>477</v>
      </c>
      <c r="D168" s="6"/>
      <c r="E168" s="1">
        <v>50</v>
      </c>
      <c r="F168" s="1">
        <v>0</v>
      </c>
      <c r="G168" s="5">
        <f>F168-L167</f>
        <v>0</v>
      </c>
      <c r="H168" s="4">
        <f t="shared" si="16"/>
        <v>0</v>
      </c>
      <c r="I168" s="1" t="e">
        <f t="shared" si="17"/>
        <v>#DIV/0!</v>
      </c>
      <c r="J168" s="2"/>
      <c r="L168" s="2"/>
    </row>
    <row r="169" spans="1:12" ht="15.75" hidden="1">
      <c r="A169" s="17" t="s">
        <v>329</v>
      </c>
      <c r="B169" s="48" t="s">
        <v>330</v>
      </c>
      <c r="C169" s="7" t="s">
        <v>364</v>
      </c>
      <c r="D169" s="6"/>
      <c r="E169" s="1"/>
      <c r="F169" s="1">
        <v>0</v>
      </c>
      <c r="G169" s="5"/>
      <c r="H169" s="4">
        <f t="shared" si="16"/>
        <v>0</v>
      </c>
      <c r="I169" s="1" t="e">
        <f t="shared" si="17"/>
        <v>#DIV/0!</v>
      </c>
      <c r="J169" s="2"/>
      <c r="L169" s="2"/>
    </row>
    <row r="170" spans="1:12" ht="47.25" hidden="1">
      <c r="A170" s="17"/>
      <c r="B170" s="48" t="s">
        <v>80</v>
      </c>
      <c r="C170" s="7" t="s">
        <v>81</v>
      </c>
      <c r="D170" s="6"/>
      <c r="E170" s="1"/>
      <c r="F170" s="1">
        <v>0</v>
      </c>
      <c r="G170" s="5"/>
      <c r="H170" s="4">
        <f t="shared" si="16"/>
        <v>0</v>
      </c>
      <c r="I170" s="1" t="e">
        <f t="shared" si="17"/>
        <v>#DIV/0!</v>
      </c>
      <c r="J170" s="2"/>
      <c r="L170" s="2"/>
    </row>
    <row r="171" spans="1:12" ht="48.75" customHeight="1">
      <c r="A171" s="17" t="s">
        <v>332</v>
      </c>
      <c r="B171" s="48" t="s">
        <v>467</v>
      </c>
      <c r="C171" s="7" t="s">
        <v>227</v>
      </c>
      <c r="D171" s="6">
        <v>119</v>
      </c>
      <c r="E171" s="1"/>
      <c r="F171" s="1">
        <v>80.19581</v>
      </c>
      <c r="G171" s="5"/>
      <c r="H171" s="4">
        <f t="shared" si="16"/>
        <v>-38.804190000000006</v>
      </c>
      <c r="I171" s="1">
        <f t="shared" si="17"/>
        <v>67.39143697478991</v>
      </c>
      <c r="J171" s="2"/>
      <c r="L171" s="2"/>
    </row>
    <row r="172" spans="1:12" ht="63">
      <c r="A172" s="17" t="s">
        <v>332</v>
      </c>
      <c r="B172" s="48" t="s">
        <v>467</v>
      </c>
      <c r="C172" s="7" t="s">
        <v>212</v>
      </c>
      <c r="D172" s="6">
        <v>19.7</v>
      </c>
      <c r="E172" s="1"/>
      <c r="F172" s="1">
        <v>11.2704</v>
      </c>
      <c r="G172" s="5"/>
      <c r="H172" s="4">
        <f t="shared" si="16"/>
        <v>-8.429599999999999</v>
      </c>
      <c r="I172" s="1">
        <f t="shared" si="17"/>
        <v>57.21015228426396</v>
      </c>
      <c r="J172" s="2"/>
      <c r="L172" s="2"/>
    </row>
    <row r="173" spans="1:12" ht="63">
      <c r="A173" s="17"/>
      <c r="B173" s="48" t="s">
        <v>467</v>
      </c>
      <c r="C173" s="7" t="s">
        <v>228</v>
      </c>
      <c r="D173" s="6">
        <v>70</v>
      </c>
      <c r="E173" s="1"/>
      <c r="F173" s="1">
        <v>10.78697</v>
      </c>
      <c r="G173" s="5"/>
      <c r="H173" s="4">
        <f t="shared" si="16"/>
        <v>-59.21303</v>
      </c>
      <c r="I173" s="1">
        <f t="shared" si="17"/>
        <v>15.409957142857142</v>
      </c>
      <c r="J173" s="2"/>
      <c r="L173" s="2"/>
    </row>
    <row r="174" spans="1:12" ht="78.75">
      <c r="A174" s="17"/>
      <c r="B174" s="48" t="s">
        <v>467</v>
      </c>
      <c r="C174" s="7" t="s">
        <v>273</v>
      </c>
      <c r="D174" s="6">
        <v>15</v>
      </c>
      <c r="E174" s="1"/>
      <c r="F174" s="1">
        <v>10.31631</v>
      </c>
      <c r="G174" s="5"/>
      <c r="H174" s="4">
        <f t="shared" si="16"/>
        <v>-4.68369</v>
      </c>
      <c r="I174" s="1">
        <f t="shared" si="17"/>
        <v>68.77539999999999</v>
      </c>
      <c r="J174" s="2"/>
      <c r="L174" s="2"/>
    </row>
    <row r="175" spans="1:12" ht="63">
      <c r="A175" s="17"/>
      <c r="B175" s="48" t="s">
        <v>467</v>
      </c>
      <c r="C175" s="7" t="s">
        <v>214</v>
      </c>
      <c r="D175" s="6">
        <v>45</v>
      </c>
      <c r="E175" s="1"/>
      <c r="F175" s="1">
        <v>32.57021</v>
      </c>
      <c r="G175" s="5"/>
      <c r="H175" s="4">
        <f t="shared" si="16"/>
        <v>-12.429789999999997</v>
      </c>
      <c r="I175" s="1">
        <f t="shared" si="17"/>
        <v>72.37824444444445</v>
      </c>
      <c r="J175" s="2"/>
      <c r="L175" s="2"/>
    </row>
    <row r="176" spans="1:12" ht="78" customHeight="1">
      <c r="A176" s="17"/>
      <c r="B176" s="48" t="s">
        <v>467</v>
      </c>
      <c r="C176" s="7" t="s">
        <v>215</v>
      </c>
      <c r="D176" s="6">
        <v>22.9</v>
      </c>
      <c r="E176" s="1"/>
      <c r="F176" s="1">
        <v>22.744</v>
      </c>
      <c r="G176" s="5"/>
      <c r="H176" s="4">
        <f t="shared" si="16"/>
        <v>-0.1559999999999988</v>
      </c>
      <c r="I176" s="1">
        <f t="shared" si="17"/>
        <v>99.31877729257643</v>
      </c>
      <c r="J176" s="2"/>
      <c r="L176" s="2"/>
    </row>
    <row r="177" spans="1:12" ht="78.75" hidden="1">
      <c r="A177" s="17"/>
      <c r="B177" s="48" t="s">
        <v>467</v>
      </c>
      <c r="C177" s="7" t="s">
        <v>183</v>
      </c>
      <c r="D177" s="6">
        <f>110-110</f>
        <v>0</v>
      </c>
      <c r="E177" s="1"/>
      <c r="F177" s="1">
        <v>0</v>
      </c>
      <c r="G177" s="5"/>
      <c r="H177" s="4">
        <f t="shared" si="16"/>
        <v>0</v>
      </c>
      <c r="I177" s="1" t="e">
        <f t="shared" si="17"/>
        <v>#DIV/0!</v>
      </c>
      <c r="J177" s="2"/>
      <c r="L177" s="2"/>
    </row>
    <row r="178" spans="1:12" ht="78.75">
      <c r="A178" s="17"/>
      <c r="B178" s="48" t="s">
        <v>467</v>
      </c>
      <c r="C178" s="7" t="s">
        <v>79</v>
      </c>
      <c r="D178" s="6">
        <v>9.6</v>
      </c>
      <c r="E178" s="1"/>
      <c r="F178" s="1">
        <v>0</v>
      </c>
      <c r="G178" s="5"/>
      <c r="H178" s="4">
        <f t="shared" si="16"/>
        <v>-9.6</v>
      </c>
      <c r="I178" s="1">
        <f t="shared" si="17"/>
        <v>0</v>
      </c>
      <c r="J178" s="2"/>
      <c r="L178" s="2"/>
    </row>
    <row r="179" spans="1:12" ht="14.25" customHeight="1">
      <c r="A179" s="17" t="s">
        <v>332</v>
      </c>
      <c r="B179" s="48" t="s">
        <v>331</v>
      </c>
      <c r="C179" s="7" t="s">
        <v>216</v>
      </c>
      <c r="D179" s="6">
        <v>131.67134</v>
      </c>
      <c r="E179" s="1"/>
      <c r="F179" s="1">
        <v>86.86057</v>
      </c>
      <c r="G179" s="5"/>
      <c r="H179" s="4">
        <f t="shared" si="16"/>
        <v>-44.81076999999999</v>
      </c>
      <c r="I179" s="1">
        <f t="shared" si="17"/>
        <v>65.96771172830778</v>
      </c>
      <c r="J179" s="2"/>
      <c r="L179" s="2"/>
    </row>
    <row r="180" spans="1:12" ht="13.5" customHeight="1" hidden="1">
      <c r="A180" s="17"/>
      <c r="B180" s="48" t="s">
        <v>467</v>
      </c>
      <c r="C180" s="7" t="s">
        <v>16</v>
      </c>
      <c r="D180" s="6"/>
      <c r="E180" s="1"/>
      <c r="F180" s="1">
        <v>0</v>
      </c>
      <c r="G180" s="5"/>
      <c r="H180" s="4">
        <f t="shared" si="16"/>
        <v>0</v>
      </c>
      <c r="I180" s="1" t="e">
        <f t="shared" si="17"/>
        <v>#DIV/0!</v>
      </c>
      <c r="J180" s="2"/>
      <c r="L180" s="2"/>
    </row>
    <row r="181" spans="1:12" ht="15.75">
      <c r="A181" s="90"/>
      <c r="B181" s="64"/>
      <c r="C181" s="55" t="s">
        <v>419</v>
      </c>
      <c r="D181" s="6">
        <f>D10+D20+D21+D38+D113+D121+D128+D133+D139+D142+D148+D155+D158</f>
        <v>124180.36166</v>
      </c>
      <c r="E181" s="6">
        <f>E10+E20+E21+E38+E113+E121+E128+E133+E139+E142+E148+E155+E158</f>
        <v>36216.49999999999</v>
      </c>
      <c r="F181" s="6">
        <f>F10+F20+F21+F38+F113+F121+F128+F133+F139+F142+F148+F155+F158</f>
        <v>86794.4318</v>
      </c>
      <c r="G181" s="6" t="e">
        <f>G10+G21+G36+G38+G113+G121+G128+G133+G138+G140+G142+G146+G150+G156+G157+G159+G160+G162+G161+G163+G164+G166+G167+G168</f>
        <v>#REF!</v>
      </c>
      <c r="H181" s="5">
        <f t="shared" si="16"/>
        <v>-37385.92985999999</v>
      </c>
      <c r="I181" s="6">
        <f t="shared" si="17"/>
        <v>69.89384685288572</v>
      </c>
      <c r="J181" s="2"/>
      <c r="L181" s="37"/>
    </row>
    <row r="182" spans="1:12" ht="18.75" customHeight="1">
      <c r="A182" s="90" t="s">
        <v>332</v>
      </c>
      <c r="B182" s="64" t="s">
        <v>333</v>
      </c>
      <c r="C182" s="55" t="s">
        <v>420</v>
      </c>
      <c r="D182" s="6">
        <v>42313.4</v>
      </c>
      <c r="E182" s="6">
        <v>10216.7</v>
      </c>
      <c r="F182" s="5">
        <v>29096.94249</v>
      </c>
      <c r="G182" s="5">
        <f>F182-L181</f>
        <v>29096.94249</v>
      </c>
      <c r="H182" s="5">
        <f t="shared" si="16"/>
        <v>-13216.45751</v>
      </c>
      <c r="I182" s="6">
        <f t="shared" si="17"/>
        <v>68.76531427396522</v>
      </c>
      <c r="J182" s="2"/>
      <c r="L182" s="2"/>
    </row>
    <row r="183" spans="1:12" ht="33.75" customHeight="1">
      <c r="A183" s="90"/>
      <c r="B183" s="64" t="s">
        <v>131</v>
      </c>
      <c r="C183" s="55" t="s">
        <v>404</v>
      </c>
      <c r="D183" s="6">
        <v>135.012</v>
      </c>
      <c r="E183" s="6"/>
      <c r="F183" s="5">
        <v>135.01154</v>
      </c>
      <c r="G183" s="5"/>
      <c r="H183" s="5">
        <f t="shared" si="16"/>
        <v>-0.00046000000000390173</v>
      </c>
      <c r="I183" s="6">
        <f t="shared" si="17"/>
        <v>99.99965928954462</v>
      </c>
      <c r="J183" s="2"/>
      <c r="L183" s="2"/>
    </row>
    <row r="184" spans="1:12" ht="15.75">
      <c r="A184" s="90"/>
      <c r="B184" s="90"/>
      <c r="C184" s="55" t="s">
        <v>289</v>
      </c>
      <c r="D184" s="6">
        <f>SUM(D181:D183)</f>
        <v>166628.77365999998</v>
      </c>
      <c r="E184" s="6">
        <f>SUM(E181:E183)</f>
        <v>46433.2</v>
      </c>
      <c r="F184" s="6">
        <f>SUM(F181:F183)</f>
        <v>116026.38583000001</v>
      </c>
      <c r="G184" s="6" t="e">
        <f>G181+G182</f>
        <v>#REF!</v>
      </c>
      <c r="H184" s="5">
        <f t="shared" si="16"/>
        <v>-50602.38782999996</v>
      </c>
      <c r="I184" s="6">
        <f t="shared" si="17"/>
        <v>69.63166281637989</v>
      </c>
      <c r="J184" s="58"/>
      <c r="L184" s="29"/>
    </row>
    <row r="185" spans="1:12" ht="15.75">
      <c r="A185" s="111"/>
      <c r="B185" s="111"/>
      <c r="C185" s="111"/>
      <c r="D185" s="111"/>
      <c r="E185" s="111"/>
      <c r="F185" s="111"/>
      <c r="G185" s="111"/>
      <c r="H185" s="111"/>
      <c r="I185" s="112"/>
      <c r="J185" s="58"/>
      <c r="L185" s="29"/>
    </row>
    <row r="186" spans="1:12" s="28" customFormat="1" ht="15.75">
      <c r="A186" s="91"/>
      <c r="B186" s="92"/>
      <c r="C186" s="93" t="s">
        <v>475</v>
      </c>
      <c r="D186" s="71">
        <f>D187+D189+D200+D204+D219+D225+D228+D234+D238+D242+D245+D248+D254+D188</f>
        <v>26837.087959999997</v>
      </c>
      <c r="E186" s="71">
        <f>E187+E189+E200+E204+E219+E225+E228+E234+E238+E242+E245+E248+E254+E188</f>
        <v>116</v>
      </c>
      <c r="F186" s="71">
        <f>F187+F189+F200+F204+F219+F225+F228+F234+F238+F242+F245+F248+F254+F188</f>
        <v>9089.11155</v>
      </c>
      <c r="G186" s="13"/>
      <c r="H186" s="5">
        <f aca="true" t="shared" si="18" ref="H186:H219">F186-D186</f>
        <v>-17747.976409999996</v>
      </c>
      <c r="I186" s="6">
        <f aca="true" t="shared" si="19" ref="I186:I219">F186/D186*100</f>
        <v>33.86772649680581</v>
      </c>
      <c r="J186" s="103"/>
      <c r="L186" s="104"/>
    </row>
    <row r="187" spans="1:12" ht="30.75" customHeight="1">
      <c r="A187" s="94"/>
      <c r="B187" s="95" t="s">
        <v>237</v>
      </c>
      <c r="C187" s="96" t="s">
        <v>90</v>
      </c>
      <c r="D187" s="71">
        <f>653.01589+2.3+12.5</f>
        <v>667.81589</v>
      </c>
      <c r="E187" s="71"/>
      <c r="F187" s="71">
        <v>93.60572</v>
      </c>
      <c r="G187" s="13"/>
      <c r="H187" s="5">
        <f t="shared" si="18"/>
        <v>-574.21017</v>
      </c>
      <c r="I187" s="6">
        <f t="shared" si="19"/>
        <v>14.016695529661627</v>
      </c>
      <c r="J187" s="58"/>
      <c r="L187" s="29"/>
    </row>
    <row r="188" spans="1:12" ht="72" customHeight="1">
      <c r="A188" s="94"/>
      <c r="B188" s="95" t="s">
        <v>230</v>
      </c>
      <c r="C188" s="96" t="s">
        <v>236</v>
      </c>
      <c r="D188" s="76">
        <v>60</v>
      </c>
      <c r="E188" s="76"/>
      <c r="F188" s="76">
        <v>0</v>
      </c>
      <c r="G188" s="101"/>
      <c r="H188" s="5">
        <f t="shared" si="18"/>
        <v>-60</v>
      </c>
      <c r="I188" s="73">
        <f t="shared" si="19"/>
        <v>0</v>
      </c>
      <c r="J188" s="58"/>
      <c r="L188" s="29"/>
    </row>
    <row r="189" spans="1:12" ht="34.5" customHeight="1">
      <c r="A189" s="97"/>
      <c r="B189" s="102" t="s">
        <v>298</v>
      </c>
      <c r="C189" s="98" t="s">
        <v>458</v>
      </c>
      <c r="D189" s="76">
        <f>D190+D192+D195+D193+D198+D191+D194+D196+D197+D199</f>
        <v>2184.20287</v>
      </c>
      <c r="E189" s="76">
        <f>E190+E192+E195+E193+E198+E191+E194+E196+E197+E199</f>
        <v>0</v>
      </c>
      <c r="F189" s="76">
        <f>F190+F192+F195+F193+F198+F191+F194+F196+F197+F199</f>
        <v>1006.56114</v>
      </c>
      <c r="G189" s="68"/>
      <c r="H189" s="68">
        <f t="shared" si="18"/>
        <v>-1177.64173</v>
      </c>
      <c r="I189" s="73">
        <f t="shared" si="19"/>
        <v>46.083683609480836</v>
      </c>
      <c r="J189" s="58"/>
      <c r="L189" s="29"/>
    </row>
    <row r="190" spans="1:12" ht="31.5">
      <c r="A190" s="97"/>
      <c r="B190" s="75" t="s">
        <v>356</v>
      </c>
      <c r="C190" s="63" t="s">
        <v>284</v>
      </c>
      <c r="D190" s="76">
        <v>1160.80348</v>
      </c>
      <c r="E190" s="76"/>
      <c r="F190" s="76">
        <v>399.90815</v>
      </c>
      <c r="G190" s="68"/>
      <c r="H190" s="68">
        <f t="shared" si="18"/>
        <v>-760.8953300000001</v>
      </c>
      <c r="I190" s="73">
        <f t="shared" si="19"/>
        <v>34.45097786922555</v>
      </c>
      <c r="J190" s="58"/>
      <c r="L190" s="29"/>
    </row>
    <row r="191" spans="1:12" ht="80.25" customHeight="1">
      <c r="A191" s="27"/>
      <c r="B191" s="75" t="s">
        <v>356</v>
      </c>
      <c r="C191" s="63" t="s">
        <v>82</v>
      </c>
      <c r="D191" s="76">
        <v>0.31044</v>
      </c>
      <c r="E191" s="76"/>
      <c r="F191" s="76">
        <v>0.31044</v>
      </c>
      <c r="G191" s="68"/>
      <c r="H191" s="68">
        <f t="shared" si="18"/>
        <v>0</v>
      </c>
      <c r="I191" s="73">
        <f t="shared" si="19"/>
        <v>100</v>
      </c>
      <c r="J191" s="58"/>
      <c r="L191" s="29"/>
    </row>
    <row r="192" spans="1:12" ht="50.25" customHeight="1">
      <c r="A192" s="27"/>
      <c r="B192" s="75" t="s">
        <v>356</v>
      </c>
      <c r="C192" s="63" t="s">
        <v>184</v>
      </c>
      <c r="D192" s="76">
        <v>38.391</v>
      </c>
      <c r="E192" s="76"/>
      <c r="F192" s="76">
        <v>38.391</v>
      </c>
      <c r="G192" s="68"/>
      <c r="H192" s="68">
        <f t="shared" si="18"/>
        <v>0</v>
      </c>
      <c r="I192" s="73">
        <f t="shared" si="19"/>
        <v>100</v>
      </c>
      <c r="J192" s="58"/>
      <c r="L192" s="29"/>
    </row>
    <row r="193" spans="1:12" ht="32.25" customHeight="1">
      <c r="A193" s="27"/>
      <c r="B193" s="75" t="s">
        <v>358</v>
      </c>
      <c r="C193" s="63" t="s">
        <v>285</v>
      </c>
      <c r="D193" s="76">
        <f>637.30567+17.895+50</f>
        <v>705.20067</v>
      </c>
      <c r="E193" s="76"/>
      <c r="F193" s="76">
        <v>447.81527</v>
      </c>
      <c r="G193" s="68"/>
      <c r="H193" s="68">
        <f t="shared" si="18"/>
        <v>-257.38539999999995</v>
      </c>
      <c r="I193" s="73">
        <f t="shared" si="19"/>
        <v>63.50182140354461</v>
      </c>
      <c r="J193" s="58"/>
      <c r="L193" s="29"/>
    </row>
    <row r="194" spans="1:12" ht="80.25" customHeight="1">
      <c r="A194" s="27"/>
      <c r="B194" s="75" t="s">
        <v>358</v>
      </c>
      <c r="C194" s="63" t="s">
        <v>82</v>
      </c>
      <c r="D194" s="76">
        <f>79.77628+153.972</f>
        <v>233.74828000000002</v>
      </c>
      <c r="E194" s="76"/>
      <c r="F194" s="76">
        <v>79.77628</v>
      </c>
      <c r="G194" s="68"/>
      <c r="H194" s="68">
        <f t="shared" si="18"/>
        <v>-153.97200000000004</v>
      </c>
      <c r="I194" s="73">
        <f t="shared" si="19"/>
        <v>34.12914097164693</v>
      </c>
      <c r="J194" s="58"/>
      <c r="L194" s="29"/>
    </row>
    <row r="195" spans="1:12" ht="49.5" customHeight="1">
      <c r="A195" s="27"/>
      <c r="B195" s="75" t="s">
        <v>358</v>
      </c>
      <c r="C195" s="63" t="s">
        <v>454</v>
      </c>
      <c r="D195" s="76">
        <v>10</v>
      </c>
      <c r="E195" s="76"/>
      <c r="F195" s="76">
        <v>10</v>
      </c>
      <c r="G195" s="68"/>
      <c r="H195" s="68">
        <f t="shared" si="18"/>
        <v>0</v>
      </c>
      <c r="I195" s="73">
        <f t="shared" si="19"/>
        <v>100</v>
      </c>
      <c r="J195" s="58"/>
      <c r="L195" s="29"/>
    </row>
    <row r="196" spans="1:12" ht="20.25" customHeight="1">
      <c r="A196" s="27"/>
      <c r="B196" s="75" t="s">
        <v>375</v>
      </c>
      <c r="C196" s="63" t="s">
        <v>46</v>
      </c>
      <c r="D196" s="76">
        <v>9.98</v>
      </c>
      <c r="E196" s="76"/>
      <c r="F196" s="76">
        <v>9.98</v>
      </c>
      <c r="G196" s="68"/>
      <c r="H196" s="69">
        <f t="shared" si="18"/>
        <v>0</v>
      </c>
      <c r="I196" s="70">
        <f t="shared" si="19"/>
        <v>100</v>
      </c>
      <c r="J196" s="58"/>
      <c r="L196" s="29"/>
    </row>
    <row r="197" spans="1:12" ht="31.5">
      <c r="A197" s="27"/>
      <c r="B197" s="75" t="s">
        <v>376</v>
      </c>
      <c r="C197" s="63" t="s">
        <v>92</v>
      </c>
      <c r="D197" s="76">
        <v>7.04</v>
      </c>
      <c r="E197" s="76"/>
      <c r="F197" s="76">
        <v>7.04</v>
      </c>
      <c r="G197" s="68"/>
      <c r="H197" s="69">
        <f t="shared" si="18"/>
        <v>0</v>
      </c>
      <c r="I197" s="70">
        <f t="shared" si="19"/>
        <v>100</v>
      </c>
      <c r="J197" s="58"/>
      <c r="L197" s="29"/>
    </row>
    <row r="198" spans="1:12" ht="51" customHeight="1">
      <c r="A198" s="27"/>
      <c r="B198" s="66" t="s">
        <v>377</v>
      </c>
      <c r="C198" s="18" t="s">
        <v>286</v>
      </c>
      <c r="D198" s="67">
        <v>13.34</v>
      </c>
      <c r="E198" s="67"/>
      <c r="F198" s="67">
        <v>13.34</v>
      </c>
      <c r="G198" s="68"/>
      <c r="H198" s="69">
        <f t="shared" si="18"/>
        <v>0</v>
      </c>
      <c r="I198" s="70">
        <f t="shared" si="19"/>
        <v>100</v>
      </c>
      <c r="J198" s="58"/>
      <c r="L198" s="29"/>
    </row>
    <row r="199" spans="1:12" ht="31.5">
      <c r="A199" s="27"/>
      <c r="B199" s="66" t="s">
        <v>434</v>
      </c>
      <c r="C199" s="18" t="s">
        <v>108</v>
      </c>
      <c r="D199" s="67">
        <v>5.389</v>
      </c>
      <c r="E199" s="67"/>
      <c r="F199" s="67">
        <v>0</v>
      </c>
      <c r="G199" s="68"/>
      <c r="H199" s="69">
        <f t="shared" si="18"/>
        <v>-5.389</v>
      </c>
      <c r="I199" s="70">
        <f t="shared" si="19"/>
        <v>0</v>
      </c>
      <c r="J199" s="58"/>
      <c r="L199" s="29"/>
    </row>
    <row r="200" spans="1:12" ht="15.75">
      <c r="A200" s="27"/>
      <c r="B200" s="75" t="s">
        <v>83</v>
      </c>
      <c r="C200" s="74" t="s">
        <v>283</v>
      </c>
      <c r="D200" s="76">
        <f>D201+D203+D202</f>
        <v>208.95773</v>
      </c>
      <c r="E200" s="76">
        <f>E201+E203+E202</f>
        <v>0</v>
      </c>
      <c r="F200" s="76">
        <f>F201+F203+F202</f>
        <v>199.56034</v>
      </c>
      <c r="G200" s="68"/>
      <c r="H200" s="69">
        <f t="shared" si="18"/>
        <v>-9.397390000000001</v>
      </c>
      <c r="I200" s="70">
        <f t="shared" si="19"/>
        <v>95.50273158116715</v>
      </c>
      <c r="J200" s="58"/>
      <c r="L200" s="29"/>
    </row>
    <row r="201" spans="1:12" ht="47.25">
      <c r="A201" s="27"/>
      <c r="B201" s="75" t="s">
        <v>365</v>
      </c>
      <c r="C201" s="74" t="s">
        <v>87</v>
      </c>
      <c r="D201" s="76">
        <v>63.32148</v>
      </c>
      <c r="E201" s="76"/>
      <c r="F201" s="76">
        <v>63.32149</v>
      </c>
      <c r="G201" s="68"/>
      <c r="H201" s="69">
        <f t="shared" si="18"/>
        <v>9.999999996068709E-06</v>
      </c>
      <c r="I201" s="70">
        <f t="shared" si="19"/>
        <v>100.00001579242937</v>
      </c>
      <c r="J201" s="58"/>
      <c r="L201" s="29"/>
    </row>
    <row r="202" spans="1:12" ht="63" hidden="1">
      <c r="A202" s="27"/>
      <c r="B202" s="75" t="s">
        <v>19</v>
      </c>
      <c r="C202" s="55" t="s">
        <v>238</v>
      </c>
      <c r="D202" s="76"/>
      <c r="E202" s="76"/>
      <c r="F202" s="76"/>
      <c r="G202" s="68"/>
      <c r="H202" s="68">
        <f t="shared" si="18"/>
        <v>0</v>
      </c>
      <c r="I202" s="73" t="e">
        <f t="shared" si="19"/>
        <v>#DIV/0!</v>
      </c>
      <c r="J202" s="58"/>
      <c r="L202" s="29"/>
    </row>
    <row r="203" spans="1:12" ht="78.75">
      <c r="A203" s="27"/>
      <c r="B203" s="75" t="s">
        <v>312</v>
      </c>
      <c r="C203" s="63" t="s">
        <v>82</v>
      </c>
      <c r="D203" s="76">
        <v>145.63625</v>
      </c>
      <c r="E203" s="76"/>
      <c r="F203" s="76">
        <v>136.23885</v>
      </c>
      <c r="G203" s="68"/>
      <c r="H203" s="68">
        <f t="shared" si="18"/>
        <v>-9.397399999999976</v>
      </c>
      <c r="I203" s="73">
        <f t="shared" si="19"/>
        <v>93.54734827352395</v>
      </c>
      <c r="J203" s="58"/>
      <c r="L203" s="29"/>
    </row>
    <row r="204" spans="1:12" ht="15.75">
      <c r="A204" s="27"/>
      <c r="B204" s="64" t="s">
        <v>317</v>
      </c>
      <c r="C204" s="74" t="s">
        <v>287</v>
      </c>
      <c r="D204" s="71">
        <f>D205+D206+D207+D209+D210+D211+D212+D213+D214+D215+D217+D218+D208+D216</f>
        <v>13446.649169999999</v>
      </c>
      <c r="E204" s="71">
        <f>E205+E206+E207+E209+E210+E211+E212+E213+E214+E215+E217+E218+E208+E216</f>
        <v>0</v>
      </c>
      <c r="F204" s="71">
        <f>F205+F206+F207+F209+F210+F211+F212+F213+F214+F215+F217+F218+F208+F216</f>
        <v>3574.80931</v>
      </c>
      <c r="G204" s="71">
        <f>G205+G206+G207+G209+G210+G211+G212+G213+G214+G215+G217+G218+G208</f>
        <v>0</v>
      </c>
      <c r="H204" s="68">
        <f>F204-D204</f>
        <v>-9871.839859999998</v>
      </c>
      <c r="I204" s="73">
        <f t="shared" si="19"/>
        <v>26.58513109701367</v>
      </c>
      <c r="J204" s="58"/>
      <c r="L204" s="29"/>
    </row>
    <row r="205" spans="1:12" ht="63">
      <c r="A205" s="27"/>
      <c r="B205" s="48" t="s">
        <v>319</v>
      </c>
      <c r="C205" s="7" t="s">
        <v>50</v>
      </c>
      <c r="D205" s="61">
        <v>1580.175</v>
      </c>
      <c r="E205" s="13"/>
      <c r="F205" s="4">
        <v>1392.94854</v>
      </c>
      <c r="G205" s="5"/>
      <c r="H205" s="69">
        <f t="shared" si="18"/>
        <v>-187.22645999999986</v>
      </c>
      <c r="I205" s="70">
        <f t="shared" si="19"/>
        <v>88.15153638046421</v>
      </c>
      <c r="J205" s="58"/>
      <c r="L205" s="29"/>
    </row>
    <row r="206" spans="1:12" ht="69" customHeight="1">
      <c r="A206" s="27"/>
      <c r="B206" s="64" t="s">
        <v>319</v>
      </c>
      <c r="C206" s="7" t="s">
        <v>49</v>
      </c>
      <c r="D206" s="71">
        <v>12.57387</v>
      </c>
      <c r="E206" s="13"/>
      <c r="F206" s="5">
        <v>12.57387</v>
      </c>
      <c r="G206" s="5"/>
      <c r="H206" s="68">
        <f t="shared" si="18"/>
        <v>0</v>
      </c>
      <c r="I206" s="73">
        <f t="shared" si="19"/>
        <v>100</v>
      </c>
      <c r="J206" s="58"/>
      <c r="L206" s="29"/>
    </row>
    <row r="207" spans="1:12" ht="78.75">
      <c r="A207" s="27"/>
      <c r="B207" s="64" t="s">
        <v>319</v>
      </c>
      <c r="C207" s="63" t="s">
        <v>82</v>
      </c>
      <c r="D207" s="71">
        <v>415.61172</v>
      </c>
      <c r="E207" s="13"/>
      <c r="F207" s="5">
        <v>415.61172</v>
      </c>
      <c r="G207" s="5"/>
      <c r="H207" s="68">
        <f t="shared" si="18"/>
        <v>0</v>
      </c>
      <c r="I207" s="73">
        <f t="shared" si="19"/>
        <v>100</v>
      </c>
      <c r="J207" s="58"/>
      <c r="L207" s="29"/>
    </row>
    <row r="208" spans="1:12" ht="47.25">
      <c r="A208" s="27"/>
      <c r="B208" s="64" t="s">
        <v>319</v>
      </c>
      <c r="C208" s="63" t="s">
        <v>452</v>
      </c>
      <c r="D208" s="71">
        <v>97</v>
      </c>
      <c r="E208" s="13"/>
      <c r="F208" s="5">
        <v>0</v>
      </c>
      <c r="G208" s="5"/>
      <c r="H208" s="68">
        <f>F208-D208</f>
        <v>-97</v>
      </c>
      <c r="I208" s="73">
        <f>F208/D208*100</f>
        <v>0</v>
      </c>
      <c r="J208" s="58"/>
      <c r="L208" s="29"/>
    </row>
    <row r="209" spans="1:12" ht="47.25">
      <c r="A209" s="27"/>
      <c r="B209" s="64" t="s">
        <v>40</v>
      </c>
      <c r="C209" s="55" t="s">
        <v>75</v>
      </c>
      <c r="D209" s="71">
        <v>363</v>
      </c>
      <c r="E209" s="13"/>
      <c r="F209" s="5">
        <v>106.9952</v>
      </c>
      <c r="G209" s="5"/>
      <c r="H209" s="68">
        <f t="shared" si="18"/>
        <v>-256.0048</v>
      </c>
      <c r="I209" s="73">
        <f t="shared" si="19"/>
        <v>29.47526170798898</v>
      </c>
      <c r="J209" s="58"/>
      <c r="L209" s="29"/>
    </row>
    <row r="210" spans="1:12" ht="47.25">
      <c r="A210" s="27"/>
      <c r="B210" s="64" t="s">
        <v>40</v>
      </c>
      <c r="C210" s="55" t="s">
        <v>91</v>
      </c>
      <c r="D210" s="71">
        <v>427.99884</v>
      </c>
      <c r="E210" s="13"/>
      <c r="F210" s="5">
        <v>285.31918</v>
      </c>
      <c r="G210" s="5"/>
      <c r="H210" s="68">
        <f t="shared" si="18"/>
        <v>-142.67965999999996</v>
      </c>
      <c r="I210" s="73">
        <f t="shared" si="19"/>
        <v>66.66354048996956</v>
      </c>
      <c r="J210" s="58"/>
      <c r="L210" s="29"/>
    </row>
    <row r="211" spans="1:12" ht="78.75">
      <c r="A211" s="27"/>
      <c r="B211" s="64" t="s">
        <v>40</v>
      </c>
      <c r="C211" s="63" t="s">
        <v>82</v>
      </c>
      <c r="D211" s="71">
        <v>424.19606</v>
      </c>
      <c r="E211" s="13"/>
      <c r="F211" s="5">
        <v>424.19606</v>
      </c>
      <c r="G211" s="5"/>
      <c r="H211" s="68">
        <f t="shared" si="18"/>
        <v>0</v>
      </c>
      <c r="I211" s="73">
        <f t="shared" si="19"/>
        <v>100</v>
      </c>
      <c r="J211" s="58"/>
      <c r="L211" s="29"/>
    </row>
    <row r="212" spans="1:12" ht="78.75">
      <c r="A212" s="27"/>
      <c r="B212" s="48" t="s">
        <v>15</v>
      </c>
      <c r="C212" s="55" t="s">
        <v>51</v>
      </c>
      <c r="D212" s="12">
        <v>736.86</v>
      </c>
      <c r="E212" s="13"/>
      <c r="F212" s="4">
        <v>213.1</v>
      </c>
      <c r="G212" s="5"/>
      <c r="H212" s="69">
        <f t="shared" si="18"/>
        <v>-523.76</v>
      </c>
      <c r="I212" s="70">
        <f t="shared" si="19"/>
        <v>28.920011942567108</v>
      </c>
      <c r="J212" s="58"/>
      <c r="L212" s="29"/>
    </row>
    <row r="213" spans="1:12" ht="47.25" customHeight="1" hidden="1">
      <c r="A213" s="27"/>
      <c r="B213" s="48" t="s">
        <v>15</v>
      </c>
      <c r="C213" s="55" t="s">
        <v>88</v>
      </c>
      <c r="D213" s="12">
        <v>0</v>
      </c>
      <c r="E213" s="13"/>
      <c r="F213" s="4"/>
      <c r="G213" s="5"/>
      <c r="H213" s="69">
        <f t="shared" si="18"/>
        <v>0</v>
      </c>
      <c r="I213" s="70" t="e">
        <f t="shared" si="19"/>
        <v>#DIV/0!</v>
      </c>
      <c r="J213" s="58"/>
      <c r="L213" s="29"/>
    </row>
    <row r="214" spans="1:12" ht="47.25">
      <c r="A214" s="27"/>
      <c r="B214" s="48" t="s">
        <v>321</v>
      </c>
      <c r="C214" s="7" t="s">
        <v>52</v>
      </c>
      <c r="D214" s="12">
        <v>264.505</v>
      </c>
      <c r="E214" s="13"/>
      <c r="F214" s="4">
        <v>93.39509</v>
      </c>
      <c r="G214" s="5"/>
      <c r="H214" s="69">
        <f t="shared" si="18"/>
        <v>-171.10991</v>
      </c>
      <c r="I214" s="70">
        <f t="shared" si="19"/>
        <v>35.3093854558515</v>
      </c>
      <c r="J214" s="58"/>
      <c r="L214" s="29"/>
    </row>
    <row r="215" spans="1:12" ht="78.75">
      <c r="A215" s="27"/>
      <c r="B215" s="64" t="s">
        <v>321</v>
      </c>
      <c r="C215" s="63" t="s">
        <v>82</v>
      </c>
      <c r="D215" s="71">
        <f>129.00614+197.81</f>
        <v>326.81614</v>
      </c>
      <c r="E215" s="13"/>
      <c r="F215" s="5">
        <v>129.00614</v>
      </c>
      <c r="G215" s="5"/>
      <c r="H215" s="68">
        <f t="shared" si="18"/>
        <v>-197.81000000000003</v>
      </c>
      <c r="I215" s="73">
        <f t="shared" si="19"/>
        <v>39.473613512478295</v>
      </c>
      <c r="J215" s="58"/>
      <c r="L215" s="29"/>
    </row>
    <row r="216" spans="1:12" ht="47.25">
      <c r="A216" s="27"/>
      <c r="B216" s="64" t="s">
        <v>321</v>
      </c>
      <c r="C216" s="63" t="s">
        <v>452</v>
      </c>
      <c r="D216" s="71">
        <v>247.35</v>
      </c>
      <c r="E216" s="13"/>
      <c r="F216" s="5">
        <v>0</v>
      </c>
      <c r="G216" s="5"/>
      <c r="H216" s="68">
        <f>F216-D216</f>
        <v>-247.35</v>
      </c>
      <c r="I216" s="73">
        <f>F216/D216*100</f>
        <v>0</v>
      </c>
      <c r="J216" s="58"/>
      <c r="L216" s="29"/>
    </row>
    <row r="217" spans="1:12" ht="78.75">
      <c r="A217" s="27"/>
      <c r="B217" s="64" t="s">
        <v>23</v>
      </c>
      <c r="C217" s="55" t="s">
        <v>84</v>
      </c>
      <c r="D217" s="71">
        <v>50.56254</v>
      </c>
      <c r="E217" s="13"/>
      <c r="F217" s="5">
        <v>50.56254</v>
      </c>
      <c r="G217" s="5"/>
      <c r="H217" s="68">
        <f t="shared" si="18"/>
        <v>0</v>
      </c>
      <c r="I217" s="73">
        <f t="shared" si="19"/>
        <v>100</v>
      </c>
      <c r="J217" s="58"/>
      <c r="L217" s="29"/>
    </row>
    <row r="218" spans="1:12" ht="63">
      <c r="A218" s="27"/>
      <c r="B218" s="64" t="s">
        <v>93</v>
      </c>
      <c r="C218" s="55" t="s">
        <v>94</v>
      </c>
      <c r="D218" s="71">
        <v>8500</v>
      </c>
      <c r="E218" s="13"/>
      <c r="F218" s="5">
        <v>451.10097</v>
      </c>
      <c r="G218" s="5"/>
      <c r="H218" s="68">
        <f t="shared" si="18"/>
        <v>-8048.89903</v>
      </c>
      <c r="I218" s="73">
        <f t="shared" si="19"/>
        <v>5.307070235294118</v>
      </c>
      <c r="J218" s="58"/>
      <c r="L218" s="29"/>
    </row>
    <row r="219" spans="1:12" ht="31.5" customHeight="1">
      <c r="A219" s="22" t="s">
        <v>328</v>
      </c>
      <c r="B219" s="72" t="s">
        <v>335</v>
      </c>
      <c r="C219" s="63" t="s">
        <v>242</v>
      </c>
      <c r="D219" s="71">
        <f>D220+D221+D224+D223+D222</f>
        <v>290.269</v>
      </c>
      <c r="E219" s="71">
        <f>E220+E221+E224+E223+E222</f>
        <v>0</v>
      </c>
      <c r="F219" s="71">
        <f>F220+F221+F224+F223+F222</f>
        <v>115.569</v>
      </c>
      <c r="G219" s="5" t="e">
        <f>F219-#REF!</f>
        <v>#REF!</v>
      </c>
      <c r="H219" s="68">
        <f t="shared" si="18"/>
        <v>-174.7</v>
      </c>
      <c r="I219" s="73">
        <f t="shared" si="19"/>
        <v>39.814447977565635</v>
      </c>
      <c r="J219" s="58"/>
      <c r="L219" s="29"/>
    </row>
    <row r="220" spans="1:12" ht="20.25" customHeight="1">
      <c r="A220" s="17" t="s">
        <v>343</v>
      </c>
      <c r="B220" s="48" t="s">
        <v>444</v>
      </c>
      <c r="C220" s="24" t="s">
        <v>243</v>
      </c>
      <c r="D220" s="12">
        <v>24.7</v>
      </c>
      <c r="E220" s="13"/>
      <c r="F220" s="4">
        <v>14.7</v>
      </c>
      <c r="G220" s="5"/>
      <c r="H220" s="69">
        <f aca="true" t="shared" si="20" ref="H220:H252">F220-D220</f>
        <v>-10</v>
      </c>
      <c r="I220" s="70">
        <f aca="true" t="shared" si="21" ref="I220:I252">F220/D220*100</f>
        <v>59.51417004048582</v>
      </c>
      <c r="J220" s="58"/>
      <c r="L220" s="29"/>
    </row>
    <row r="221" spans="1:12" ht="17.25" customHeight="1">
      <c r="A221" s="17" t="s">
        <v>359</v>
      </c>
      <c r="B221" s="48" t="s">
        <v>445</v>
      </c>
      <c r="C221" s="24" t="s">
        <v>244</v>
      </c>
      <c r="D221" s="12">
        <v>11.369</v>
      </c>
      <c r="E221" s="13"/>
      <c r="F221" s="4">
        <v>6.369</v>
      </c>
      <c r="G221" s="5"/>
      <c r="H221" s="69">
        <f t="shared" si="20"/>
        <v>-5</v>
      </c>
      <c r="I221" s="70">
        <f t="shared" si="21"/>
        <v>56.0207582021286</v>
      </c>
      <c r="J221" s="58"/>
      <c r="L221" s="29"/>
    </row>
    <row r="222" spans="1:12" ht="36" customHeight="1">
      <c r="A222" s="17"/>
      <c r="B222" s="48" t="s">
        <v>446</v>
      </c>
      <c r="C222" s="24" t="s">
        <v>205</v>
      </c>
      <c r="D222" s="12">
        <v>239.2</v>
      </c>
      <c r="E222" s="13"/>
      <c r="F222" s="4">
        <v>85.854</v>
      </c>
      <c r="G222" s="5"/>
      <c r="H222" s="69">
        <f t="shared" si="20"/>
        <v>-153.346</v>
      </c>
      <c r="I222" s="70">
        <f t="shared" si="21"/>
        <v>35.892140468227424</v>
      </c>
      <c r="J222" s="58"/>
      <c r="L222" s="29"/>
    </row>
    <row r="223" spans="1:12" ht="56.25" customHeight="1">
      <c r="A223" s="17"/>
      <c r="B223" s="48" t="s">
        <v>424</v>
      </c>
      <c r="C223" s="24" t="s">
        <v>245</v>
      </c>
      <c r="D223" s="12">
        <v>5</v>
      </c>
      <c r="E223" s="13"/>
      <c r="F223" s="4">
        <v>5</v>
      </c>
      <c r="G223" s="5"/>
      <c r="H223" s="69">
        <f t="shared" si="20"/>
        <v>0</v>
      </c>
      <c r="I223" s="70">
        <f t="shared" si="21"/>
        <v>100</v>
      </c>
      <c r="J223" s="58"/>
      <c r="L223" s="29"/>
    </row>
    <row r="224" spans="1:12" ht="31.5" customHeight="1">
      <c r="A224" s="17" t="s">
        <v>359</v>
      </c>
      <c r="B224" s="48" t="s">
        <v>424</v>
      </c>
      <c r="C224" s="24" t="s">
        <v>246</v>
      </c>
      <c r="D224" s="12">
        <v>10</v>
      </c>
      <c r="E224" s="13"/>
      <c r="F224" s="4">
        <v>3.646</v>
      </c>
      <c r="G224" s="5"/>
      <c r="H224" s="69">
        <f t="shared" si="20"/>
        <v>-6.354</v>
      </c>
      <c r="I224" s="70">
        <f t="shared" si="21"/>
        <v>36.46</v>
      </c>
      <c r="J224" s="58"/>
      <c r="L224" s="29"/>
    </row>
    <row r="225" spans="1:12" ht="15.75">
      <c r="A225" s="17"/>
      <c r="B225" s="64" t="s">
        <v>324</v>
      </c>
      <c r="C225" s="55" t="s">
        <v>247</v>
      </c>
      <c r="D225" s="71">
        <f>D226+D227</f>
        <v>92.718</v>
      </c>
      <c r="E225" s="71">
        <f>E226+E227</f>
        <v>0</v>
      </c>
      <c r="F225" s="71">
        <f>F226+F227</f>
        <v>0</v>
      </c>
      <c r="G225" s="71">
        <f>G226+G227</f>
        <v>0</v>
      </c>
      <c r="H225" s="68">
        <f t="shared" si="20"/>
        <v>-92.718</v>
      </c>
      <c r="I225" s="73">
        <f t="shared" si="21"/>
        <v>0</v>
      </c>
      <c r="J225" s="58"/>
      <c r="L225" s="29"/>
    </row>
    <row r="226" spans="1:12" ht="55.5" customHeight="1" hidden="1">
      <c r="A226" s="17"/>
      <c r="B226" s="64" t="s">
        <v>325</v>
      </c>
      <c r="C226" s="87" t="s">
        <v>248</v>
      </c>
      <c r="D226" s="71">
        <v>0</v>
      </c>
      <c r="E226" s="13"/>
      <c r="F226" s="5">
        <v>0</v>
      </c>
      <c r="G226" s="5"/>
      <c r="H226" s="68">
        <f t="shared" si="20"/>
        <v>0</v>
      </c>
      <c r="I226" s="73" t="e">
        <f t="shared" si="21"/>
        <v>#DIV/0!</v>
      </c>
      <c r="J226" s="58"/>
      <c r="L226" s="29"/>
    </row>
    <row r="227" spans="1:12" ht="81.75" customHeight="1">
      <c r="A227" s="17"/>
      <c r="B227" s="64" t="s">
        <v>325</v>
      </c>
      <c r="C227" s="63" t="s">
        <v>82</v>
      </c>
      <c r="D227" s="71">
        <v>92.718</v>
      </c>
      <c r="E227" s="13"/>
      <c r="F227" s="5">
        <v>0</v>
      </c>
      <c r="G227" s="5"/>
      <c r="H227" s="68">
        <f t="shared" si="20"/>
        <v>-92.718</v>
      </c>
      <c r="I227" s="73">
        <f t="shared" si="21"/>
        <v>0</v>
      </c>
      <c r="J227" s="58"/>
      <c r="L227" s="29"/>
    </row>
    <row r="228" spans="1:12" ht="15.75">
      <c r="A228" s="17"/>
      <c r="B228" s="64" t="s">
        <v>180</v>
      </c>
      <c r="C228" s="55" t="s">
        <v>249</v>
      </c>
      <c r="D228" s="6">
        <f>D229+D230+D233+D231+D232</f>
        <v>6072.51986</v>
      </c>
      <c r="E228" s="6">
        <f>E229+E230+E233+E231+E232</f>
        <v>0</v>
      </c>
      <c r="F228" s="6">
        <f>F229+F230+F233+F231+F232</f>
        <v>2121.6864800000003</v>
      </c>
      <c r="G228" s="5">
        <f>F228-L220</f>
        <v>2121.6864800000003</v>
      </c>
      <c r="H228" s="68">
        <f t="shared" si="20"/>
        <v>-3950.83338</v>
      </c>
      <c r="I228" s="73">
        <f t="shared" si="21"/>
        <v>34.939144357117016</v>
      </c>
      <c r="J228" s="58"/>
      <c r="L228" s="29"/>
    </row>
    <row r="229" spans="1:12" ht="57.75" customHeight="1">
      <c r="A229" s="17"/>
      <c r="B229" s="64" t="s">
        <v>421</v>
      </c>
      <c r="C229" s="55" t="s">
        <v>53</v>
      </c>
      <c r="D229" s="6">
        <f>454.714+1124.37986</f>
        <v>1579.09386</v>
      </c>
      <c r="E229" s="6"/>
      <c r="F229" s="5">
        <f>550.38315+98.214</f>
        <v>648.59715</v>
      </c>
      <c r="G229" s="5"/>
      <c r="H229" s="68">
        <f t="shared" si="20"/>
        <v>-930.4967099999999</v>
      </c>
      <c r="I229" s="73">
        <f t="shared" si="21"/>
        <v>41.07400873561753</v>
      </c>
      <c r="J229" s="58"/>
      <c r="L229" s="29"/>
    </row>
    <row r="230" spans="1:12" ht="53.25" customHeight="1">
      <c r="A230" s="17"/>
      <c r="B230" s="64" t="s">
        <v>421</v>
      </c>
      <c r="C230" s="55" t="s">
        <v>54</v>
      </c>
      <c r="D230" s="6">
        <f>320+108.5</f>
        <v>428.5</v>
      </c>
      <c r="E230" s="6"/>
      <c r="F230" s="5">
        <f>319.669+74.38033</f>
        <v>394.04933</v>
      </c>
      <c r="G230" s="5"/>
      <c r="H230" s="68">
        <f t="shared" si="20"/>
        <v>-34.45067</v>
      </c>
      <c r="I230" s="73">
        <f t="shared" si="21"/>
        <v>91.96017036172695</v>
      </c>
      <c r="J230" s="58"/>
      <c r="L230" s="29"/>
    </row>
    <row r="231" spans="1:12" ht="84.75" customHeight="1">
      <c r="A231" s="17"/>
      <c r="B231" s="64" t="s">
        <v>421</v>
      </c>
      <c r="C231" s="63" t="s">
        <v>82</v>
      </c>
      <c r="D231" s="6">
        <v>4000.3</v>
      </c>
      <c r="E231" s="6"/>
      <c r="F231" s="5">
        <v>1079.04</v>
      </c>
      <c r="G231" s="5"/>
      <c r="H231" s="68">
        <f t="shared" si="20"/>
        <v>-2921.26</v>
      </c>
      <c r="I231" s="73">
        <f t="shared" si="21"/>
        <v>26.973976951728616</v>
      </c>
      <c r="J231" s="58"/>
      <c r="L231" s="29"/>
    </row>
    <row r="232" spans="1:12" ht="47.25">
      <c r="A232" s="17"/>
      <c r="B232" s="64" t="s">
        <v>421</v>
      </c>
      <c r="C232" s="63" t="s">
        <v>452</v>
      </c>
      <c r="D232" s="6">
        <v>64</v>
      </c>
      <c r="E232" s="6"/>
      <c r="F232" s="5">
        <v>0</v>
      </c>
      <c r="G232" s="5"/>
      <c r="H232" s="68">
        <f>F232-D232</f>
        <v>-64</v>
      </c>
      <c r="I232" s="73">
        <f>F232/D232*100</f>
        <v>0</v>
      </c>
      <c r="J232" s="58"/>
      <c r="L232" s="29"/>
    </row>
    <row r="233" spans="1:12" ht="60" customHeight="1">
      <c r="A233" s="17"/>
      <c r="B233" s="64" t="s">
        <v>206</v>
      </c>
      <c r="C233" s="55" t="s">
        <v>53</v>
      </c>
      <c r="D233" s="6">
        <v>0.626</v>
      </c>
      <c r="E233" s="6"/>
      <c r="F233" s="5">
        <v>0</v>
      </c>
      <c r="G233" s="5"/>
      <c r="H233" s="68">
        <f t="shared" si="20"/>
        <v>-0.626</v>
      </c>
      <c r="I233" s="73">
        <f t="shared" si="21"/>
        <v>0</v>
      </c>
      <c r="J233" s="58"/>
      <c r="L233" s="29"/>
    </row>
    <row r="234" spans="1:12" ht="47.25">
      <c r="A234" s="17"/>
      <c r="B234" s="64" t="s">
        <v>334</v>
      </c>
      <c r="C234" s="55" t="s">
        <v>55</v>
      </c>
      <c r="D234" s="6">
        <f>D235+D236+D237</f>
        <v>2374.0887000000002</v>
      </c>
      <c r="E234" s="6">
        <f>E235+E236+E237</f>
        <v>106</v>
      </c>
      <c r="F234" s="6">
        <f>F235+F236+F237</f>
        <v>902.0642399999999</v>
      </c>
      <c r="G234" s="5"/>
      <c r="H234" s="68">
        <f t="shared" si="20"/>
        <v>-1472.0244600000003</v>
      </c>
      <c r="I234" s="73">
        <f t="shared" si="21"/>
        <v>37.996231564557796</v>
      </c>
      <c r="J234" s="58"/>
      <c r="L234" s="29"/>
    </row>
    <row r="235" spans="1:12" ht="54.75" customHeight="1">
      <c r="A235" s="17"/>
      <c r="B235" s="64" t="s">
        <v>334</v>
      </c>
      <c r="C235" s="55" t="s">
        <v>405</v>
      </c>
      <c r="D235" s="6">
        <v>1586.631</v>
      </c>
      <c r="E235" s="6"/>
      <c r="F235" s="5">
        <v>575.40989</v>
      </c>
      <c r="G235" s="5"/>
      <c r="H235" s="68">
        <f t="shared" si="20"/>
        <v>-1011.2211100000001</v>
      </c>
      <c r="I235" s="73">
        <f t="shared" si="21"/>
        <v>36.26614442803651</v>
      </c>
      <c r="J235" s="58"/>
      <c r="L235" s="29"/>
    </row>
    <row r="236" spans="1:12" ht="47.25">
      <c r="A236" s="17"/>
      <c r="B236" s="64" t="s">
        <v>334</v>
      </c>
      <c r="C236" s="55" t="s">
        <v>406</v>
      </c>
      <c r="D236" s="6">
        <v>693.454</v>
      </c>
      <c r="E236" s="6"/>
      <c r="F236" s="5">
        <v>250.53937</v>
      </c>
      <c r="G236" s="5"/>
      <c r="H236" s="68">
        <f t="shared" si="20"/>
        <v>-442.91463</v>
      </c>
      <c r="I236" s="73">
        <f t="shared" si="21"/>
        <v>36.12919818762312</v>
      </c>
      <c r="J236" s="58"/>
      <c r="L236" s="29"/>
    </row>
    <row r="237" spans="1:12" ht="71.25" customHeight="1">
      <c r="A237" s="17"/>
      <c r="B237" s="64" t="s">
        <v>334</v>
      </c>
      <c r="C237" s="55" t="s">
        <v>36</v>
      </c>
      <c r="D237" s="6">
        <v>94.0037</v>
      </c>
      <c r="E237" s="6">
        <v>106</v>
      </c>
      <c r="F237" s="5">
        <v>76.11498</v>
      </c>
      <c r="G237" s="5" t="e">
        <f>F237-#REF!</f>
        <v>#REF!</v>
      </c>
      <c r="H237" s="68">
        <f t="shared" si="20"/>
        <v>-17.888719999999992</v>
      </c>
      <c r="I237" s="73">
        <f t="shared" si="21"/>
        <v>80.97019585399299</v>
      </c>
      <c r="J237" s="58"/>
      <c r="L237" s="29"/>
    </row>
    <row r="238" spans="1:12" ht="31.5">
      <c r="A238" s="17"/>
      <c r="B238" s="64" t="s">
        <v>43</v>
      </c>
      <c r="C238" s="63" t="s">
        <v>197</v>
      </c>
      <c r="D238" s="6">
        <f>D239+D240+D241</f>
        <v>563.13947</v>
      </c>
      <c r="E238" s="6">
        <f>E239+E240+E241</f>
        <v>0</v>
      </c>
      <c r="F238" s="6">
        <f>F239+F240+F241</f>
        <v>498.24347</v>
      </c>
      <c r="G238" s="5"/>
      <c r="H238" s="68">
        <f t="shared" si="20"/>
        <v>-64.89599999999996</v>
      </c>
      <c r="I238" s="73">
        <f t="shared" si="21"/>
        <v>88.47603418741011</v>
      </c>
      <c r="J238" s="58"/>
      <c r="L238" s="29"/>
    </row>
    <row r="239" spans="1:12" ht="88.5" customHeight="1">
      <c r="A239" s="17"/>
      <c r="B239" s="48" t="s">
        <v>435</v>
      </c>
      <c r="C239" s="7" t="s">
        <v>67</v>
      </c>
      <c r="D239" s="1">
        <f>247.47-58</f>
        <v>189.47</v>
      </c>
      <c r="E239" s="6"/>
      <c r="F239" s="4">
        <v>129.47</v>
      </c>
      <c r="G239" s="5"/>
      <c r="H239" s="69">
        <f t="shared" si="20"/>
        <v>-60</v>
      </c>
      <c r="I239" s="70">
        <f t="shared" si="21"/>
        <v>68.33271758061962</v>
      </c>
      <c r="J239" s="58"/>
      <c r="L239" s="29"/>
    </row>
    <row r="240" spans="1:12" ht="47.25" hidden="1">
      <c r="A240" s="17"/>
      <c r="B240" s="48" t="s">
        <v>435</v>
      </c>
      <c r="C240" s="63" t="s">
        <v>69</v>
      </c>
      <c r="D240" s="1">
        <v>0</v>
      </c>
      <c r="E240" s="6"/>
      <c r="F240" s="4"/>
      <c r="G240" s="5"/>
      <c r="H240" s="69">
        <f t="shared" si="20"/>
        <v>0</v>
      </c>
      <c r="I240" s="70" t="e">
        <f t="shared" si="21"/>
        <v>#DIV/0!</v>
      </c>
      <c r="J240" s="58"/>
      <c r="L240" s="29"/>
    </row>
    <row r="241" spans="1:12" ht="47.25">
      <c r="A241" s="17"/>
      <c r="B241" s="48" t="s">
        <v>435</v>
      </c>
      <c r="C241" s="65" t="s">
        <v>73</v>
      </c>
      <c r="D241" s="1">
        <f>320.66947+53</f>
        <v>373.66947</v>
      </c>
      <c r="E241" s="6"/>
      <c r="F241" s="4">
        <v>368.77347</v>
      </c>
      <c r="G241" s="5"/>
      <c r="H241" s="69">
        <f t="shared" si="20"/>
        <v>-4.896000000000015</v>
      </c>
      <c r="I241" s="70">
        <f t="shared" si="21"/>
        <v>98.68975113219712</v>
      </c>
      <c r="J241" s="58"/>
      <c r="L241" s="29"/>
    </row>
    <row r="242" spans="1:12" ht="31.5">
      <c r="A242" s="17"/>
      <c r="B242" s="72" t="s">
        <v>465</v>
      </c>
      <c r="C242" s="55" t="s">
        <v>250</v>
      </c>
      <c r="D242" s="6">
        <f>D243+D244</f>
        <v>25</v>
      </c>
      <c r="E242" s="6">
        <f>E243+E244</f>
        <v>0</v>
      </c>
      <c r="F242" s="6">
        <f>F243+F244</f>
        <v>0</v>
      </c>
      <c r="G242" s="5"/>
      <c r="H242" s="68">
        <f t="shared" si="20"/>
        <v>-25</v>
      </c>
      <c r="I242" s="73">
        <f t="shared" si="21"/>
        <v>0</v>
      </c>
      <c r="J242" s="58"/>
      <c r="L242" s="29"/>
    </row>
    <row r="243" spans="1:12" ht="69" customHeight="1">
      <c r="A243" s="17"/>
      <c r="B243" s="72" t="s">
        <v>347</v>
      </c>
      <c r="C243" s="55" t="s">
        <v>252</v>
      </c>
      <c r="D243" s="6">
        <v>21.5</v>
      </c>
      <c r="E243" s="6"/>
      <c r="F243" s="6">
        <v>0</v>
      </c>
      <c r="G243" s="5"/>
      <c r="H243" s="68">
        <f t="shared" si="20"/>
        <v>-21.5</v>
      </c>
      <c r="I243" s="73">
        <f t="shared" si="21"/>
        <v>0</v>
      </c>
      <c r="J243" s="58"/>
      <c r="L243" s="29"/>
    </row>
    <row r="244" spans="1:12" ht="31.5">
      <c r="A244" s="17"/>
      <c r="B244" s="72" t="s">
        <v>339</v>
      </c>
      <c r="C244" s="55" t="s">
        <v>189</v>
      </c>
      <c r="D244" s="6">
        <v>3.5</v>
      </c>
      <c r="E244" s="6"/>
      <c r="F244" s="6">
        <v>0</v>
      </c>
      <c r="G244" s="5"/>
      <c r="H244" s="68">
        <f t="shared" si="20"/>
        <v>-3.5</v>
      </c>
      <c r="I244" s="73">
        <f t="shared" si="21"/>
        <v>0</v>
      </c>
      <c r="J244" s="58"/>
      <c r="L244" s="29"/>
    </row>
    <row r="245" spans="1:12" ht="31.5">
      <c r="A245" s="17"/>
      <c r="B245" s="72" t="s">
        <v>71</v>
      </c>
      <c r="C245" s="55" t="s">
        <v>253</v>
      </c>
      <c r="D245" s="6">
        <f>D246+D247</f>
        <v>220.03186</v>
      </c>
      <c r="E245" s="6">
        <f>E246+E247</f>
        <v>10</v>
      </c>
      <c r="F245" s="6">
        <f>F246+F247</f>
        <v>90.38144</v>
      </c>
      <c r="G245" s="5"/>
      <c r="H245" s="68">
        <f t="shared" si="20"/>
        <v>-129.65042</v>
      </c>
      <c r="I245" s="73">
        <f t="shared" si="21"/>
        <v>41.07652409973719</v>
      </c>
      <c r="J245" s="58"/>
      <c r="L245" s="29"/>
    </row>
    <row r="246" spans="1:12" ht="69.75" customHeight="1">
      <c r="A246" s="17"/>
      <c r="B246" s="49" t="s">
        <v>438</v>
      </c>
      <c r="C246" s="7" t="s">
        <v>37</v>
      </c>
      <c r="D246" s="1">
        <v>220.03186</v>
      </c>
      <c r="E246" s="6">
        <v>10</v>
      </c>
      <c r="F246" s="1">
        <v>90.38144</v>
      </c>
      <c r="G246" s="5" t="e">
        <f>F246-#REF!</f>
        <v>#REF!</v>
      </c>
      <c r="H246" s="69">
        <f t="shared" si="20"/>
        <v>-129.65042</v>
      </c>
      <c r="I246" s="70">
        <f t="shared" si="21"/>
        <v>41.07652409973719</v>
      </c>
      <c r="J246" s="58"/>
      <c r="L246" s="29"/>
    </row>
    <row r="247" spans="1:12" ht="63" hidden="1">
      <c r="A247" s="17"/>
      <c r="B247" s="49" t="s">
        <v>70</v>
      </c>
      <c r="C247" s="7" t="s">
        <v>37</v>
      </c>
      <c r="D247" s="1">
        <v>0</v>
      </c>
      <c r="E247" s="6"/>
      <c r="F247" s="1"/>
      <c r="G247" s="5"/>
      <c r="H247" s="69">
        <f t="shared" si="20"/>
        <v>0</v>
      </c>
      <c r="I247" s="70" t="e">
        <f t="shared" si="21"/>
        <v>#DIV/0!</v>
      </c>
      <c r="J247" s="58"/>
      <c r="L247" s="29"/>
    </row>
    <row r="248" spans="1:12" ht="15.75">
      <c r="A248" s="17"/>
      <c r="B248" s="72" t="s">
        <v>479</v>
      </c>
      <c r="C248" s="55" t="s">
        <v>254</v>
      </c>
      <c r="D248" s="6">
        <f>D249+D253+D250+D252+D251</f>
        <v>225.90541</v>
      </c>
      <c r="E248" s="6">
        <f>E249+E253+E250+E252+E251</f>
        <v>0</v>
      </c>
      <c r="F248" s="6">
        <f>F249+F253+F250+F252+F251</f>
        <v>212.24041</v>
      </c>
      <c r="G248" s="5"/>
      <c r="H248" s="68">
        <f t="shared" si="20"/>
        <v>-13.664999999999992</v>
      </c>
      <c r="I248" s="73">
        <f t="shared" si="21"/>
        <v>93.95100807900086</v>
      </c>
      <c r="J248" s="58"/>
      <c r="L248" s="29"/>
    </row>
    <row r="249" spans="1:12" ht="47.25">
      <c r="A249" s="17"/>
      <c r="B249" s="49" t="s">
        <v>479</v>
      </c>
      <c r="C249" s="7" t="s">
        <v>255</v>
      </c>
      <c r="D249" s="1">
        <v>130.05701</v>
      </c>
      <c r="E249" s="6"/>
      <c r="F249" s="1">
        <v>130.05701</v>
      </c>
      <c r="G249" s="5"/>
      <c r="H249" s="69">
        <f t="shared" si="20"/>
        <v>0</v>
      </c>
      <c r="I249" s="70">
        <f t="shared" si="21"/>
        <v>100</v>
      </c>
      <c r="J249" s="58"/>
      <c r="L249" s="29"/>
    </row>
    <row r="250" spans="1:12" ht="31.5">
      <c r="A250" s="17"/>
      <c r="B250" s="49" t="s">
        <v>479</v>
      </c>
      <c r="C250" s="7" t="s">
        <v>256</v>
      </c>
      <c r="D250" s="1">
        <v>11.9484</v>
      </c>
      <c r="E250" s="6"/>
      <c r="F250" s="1">
        <v>11.9484</v>
      </c>
      <c r="G250" s="5"/>
      <c r="H250" s="69">
        <f t="shared" si="20"/>
        <v>0</v>
      </c>
      <c r="I250" s="70">
        <f t="shared" si="21"/>
        <v>100</v>
      </c>
      <c r="J250" s="58"/>
      <c r="L250" s="29"/>
    </row>
    <row r="251" spans="1:12" ht="31.5">
      <c r="A251" s="17"/>
      <c r="B251" s="49" t="s">
        <v>479</v>
      </c>
      <c r="C251" s="7" t="s">
        <v>190</v>
      </c>
      <c r="D251" s="1">
        <v>32.9</v>
      </c>
      <c r="E251" s="6"/>
      <c r="F251" s="1">
        <v>32.9</v>
      </c>
      <c r="G251" s="5"/>
      <c r="H251" s="69">
        <f t="shared" si="20"/>
        <v>0</v>
      </c>
      <c r="I251" s="70">
        <f t="shared" si="21"/>
        <v>100</v>
      </c>
      <c r="J251" s="58"/>
      <c r="L251" s="29"/>
    </row>
    <row r="252" spans="1:12" ht="31.5">
      <c r="A252" s="17"/>
      <c r="B252" s="49" t="s">
        <v>479</v>
      </c>
      <c r="C252" s="7" t="s">
        <v>257</v>
      </c>
      <c r="D252" s="1">
        <v>51</v>
      </c>
      <c r="E252" s="6"/>
      <c r="F252" s="1">
        <v>37.335</v>
      </c>
      <c r="G252" s="5"/>
      <c r="H252" s="69">
        <f t="shared" si="20"/>
        <v>-13.665</v>
      </c>
      <c r="I252" s="70">
        <f t="shared" si="21"/>
        <v>73.20588235294117</v>
      </c>
      <c r="J252" s="58"/>
      <c r="L252" s="29"/>
    </row>
    <row r="253" spans="1:12" ht="31.5" hidden="1">
      <c r="A253" s="17"/>
      <c r="B253" s="49" t="s">
        <v>479</v>
      </c>
      <c r="C253" s="7" t="s">
        <v>258</v>
      </c>
      <c r="D253" s="1"/>
      <c r="E253" s="6"/>
      <c r="F253" s="1"/>
      <c r="G253" s="5"/>
      <c r="H253" s="69">
        <f aca="true" t="shared" si="22" ref="H253:H284">F253-D253</f>
        <v>0</v>
      </c>
      <c r="I253" s="70" t="e">
        <f aca="true" t="shared" si="23" ref="I253:I284">F253/D253*100</f>
        <v>#DIV/0!</v>
      </c>
      <c r="J253" s="58"/>
      <c r="L253" s="29"/>
    </row>
    <row r="254" spans="1:12" ht="15.75">
      <c r="A254" s="17"/>
      <c r="B254" s="72" t="s">
        <v>466</v>
      </c>
      <c r="C254" s="55" t="s">
        <v>259</v>
      </c>
      <c r="D254" s="6">
        <f>D255+D262+D256+D259+D260+D261+D257+D258</f>
        <v>405.7900000000004</v>
      </c>
      <c r="E254" s="6">
        <f>E255+E262+E256+E259+E260+E261+E257+E258</f>
        <v>0</v>
      </c>
      <c r="F254" s="6">
        <f>F255+F262+F256+F259+F260+F261+F257+F258</f>
        <v>274.39</v>
      </c>
      <c r="G254" s="5"/>
      <c r="H254" s="68">
        <f t="shared" si="22"/>
        <v>-131.40000000000043</v>
      </c>
      <c r="I254" s="73">
        <f t="shared" si="23"/>
        <v>67.61871904186887</v>
      </c>
      <c r="J254" s="58"/>
      <c r="L254" s="29"/>
    </row>
    <row r="255" spans="1:12" ht="63">
      <c r="A255" s="17" t="s">
        <v>318</v>
      </c>
      <c r="B255" s="48" t="s">
        <v>467</v>
      </c>
      <c r="C255" s="3" t="s">
        <v>191</v>
      </c>
      <c r="D255" s="12">
        <v>250</v>
      </c>
      <c r="E255" s="13"/>
      <c r="F255" s="4">
        <v>250</v>
      </c>
      <c r="G255" s="5"/>
      <c r="H255" s="69">
        <f t="shared" si="22"/>
        <v>0</v>
      </c>
      <c r="I255" s="70">
        <f t="shared" si="23"/>
        <v>100</v>
      </c>
      <c r="J255" s="58"/>
      <c r="L255" s="29"/>
    </row>
    <row r="256" spans="1:12" ht="83.25" customHeight="1">
      <c r="A256" s="22"/>
      <c r="B256" s="49" t="s">
        <v>467</v>
      </c>
      <c r="C256" s="3" t="s">
        <v>188</v>
      </c>
      <c r="D256" s="1">
        <v>110</v>
      </c>
      <c r="E256" s="6"/>
      <c r="F256" s="1">
        <v>0</v>
      </c>
      <c r="G256" s="5"/>
      <c r="H256" s="69">
        <f t="shared" si="22"/>
        <v>-110</v>
      </c>
      <c r="I256" s="70">
        <f t="shared" si="23"/>
        <v>0</v>
      </c>
      <c r="J256" s="2"/>
      <c r="L256" s="40"/>
    </row>
    <row r="257" spans="1:12" ht="63" hidden="1">
      <c r="A257" s="22"/>
      <c r="B257" s="49" t="s">
        <v>467</v>
      </c>
      <c r="C257" s="3" t="s">
        <v>279</v>
      </c>
      <c r="D257" s="1">
        <v>0</v>
      </c>
      <c r="E257" s="6"/>
      <c r="F257" s="1">
        <v>0</v>
      </c>
      <c r="G257" s="5"/>
      <c r="H257" s="69">
        <f t="shared" si="22"/>
        <v>0</v>
      </c>
      <c r="I257" s="70" t="e">
        <f t="shared" si="23"/>
        <v>#DIV/0!</v>
      </c>
      <c r="J257" s="2"/>
      <c r="L257" s="40"/>
    </row>
    <row r="258" spans="1:12" ht="83.25" customHeight="1">
      <c r="A258" s="22"/>
      <c r="B258" s="49" t="s">
        <v>467</v>
      </c>
      <c r="C258" s="3" t="s">
        <v>185</v>
      </c>
      <c r="D258" s="1">
        <v>9.1</v>
      </c>
      <c r="E258" s="6"/>
      <c r="F258" s="1">
        <v>5.4</v>
      </c>
      <c r="G258" s="5"/>
      <c r="H258" s="69">
        <f t="shared" si="22"/>
        <v>-3.6999999999999993</v>
      </c>
      <c r="I258" s="70">
        <f t="shared" si="23"/>
        <v>59.34065934065935</v>
      </c>
      <c r="J258" s="2"/>
      <c r="L258" s="40"/>
    </row>
    <row r="259" spans="1:12" ht="78.75">
      <c r="A259" s="22"/>
      <c r="B259" s="49" t="s">
        <v>467</v>
      </c>
      <c r="C259" s="55" t="s">
        <v>274</v>
      </c>
      <c r="D259" s="1">
        <v>3.69</v>
      </c>
      <c r="E259" s="6"/>
      <c r="F259" s="1">
        <v>3.69</v>
      </c>
      <c r="G259" s="5"/>
      <c r="H259" s="69">
        <f t="shared" si="22"/>
        <v>0</v>
      </c>
      <c r="I259" s="70">
        <f t="shared" si="23"/>
        <v>100</v>
      </c>
      <c r="J259" s="2"/>
      <c r="L259" s="40"/>
    </row>
    <row r="260" spans="1:12" ht="78.75">
      <c r="A260" s="22"/>
      <c r="B260" s="49" t="s">
        <v>467</v>
      </c>
      <c r="C260" s="55" t="s">
        <v>275</v>
      </c>
      <c r="D260" s="1">
        <v>14</v>
      </c>
      <c r="E260" s="6"/>
      <c r="F260" s="1">
        <v>0</v>
      </c>
      <c r="G260" s="5"/>
      <c r="H260" s="69">
        <f t="shared" si="22"/>
        <v>-14</v>
      </c>
      <c r="I260" s="70">
        <f t="shared" si="23"/>
        <v>0</v>
      </c>
      <c r="J260" s="2"/>
      <c r="L260" s="40"/>
    </row>
    <row r="261" spans="1:12" ht="78" customHeight="1">
      <c r="A261" s="22"/>
      <c r="B261" s="49" t="s">
        <v>467</v>
      </c>
      <c r="C261" s="47" t="s">
        <v>186</v>
      </c>
      <c r="D261" s="1">
        <v>19</v>
      </c>
      <c r="E261" s="6"/>
      <c r="F261" s="1">
        <v>15.3</v>
      </c>
      <c r="G261" s="5"/>
      <c r="H261" s="69">
        <f t="shared" si="22"/>
        <v>-3.6999999999999993</v>
      </c>
      <c r="I261" s="70">
        <f t="shared" si="23"/>
        <v>80.52631578947368</v>
      </c>
      <c r="J261" s="2"/>
      <c r="L261" s="40"/>
    </row>
    <row r="262" spans="1:12" ht="63" hidden="1">
      <c r="A262" s="22" t="s">
        <v>308</v>
      </c>
      <c r="B262" s="72" t="s">
        <v>72</v>
      </c>
      <c r="C262" s="74" t="s">
        <v>74</v>
      </c>
      <c r="D262" s="6">
        <f>4444.8-4246.99-197.81</f>
        <v>3.979039320256561E-13</v>
      </c>
      <c r="E262" s="6"/>
      <c r="F262" s="6">
        <v>0</v>
      </c>
      <c r="G262" s="5"/>
      <c r="H262" s="68">
        <f t="shared" si="22"/>
        <v>-3.979039320256561E-13</v>
      </c>
      <c r="I262" s="73">
        <f t="shared" si="23"/>
        <v>0</v>
      </c>
      <c r="J262" s="2"/>
      <c r="L262" s="40"/>
    </row>
    <row r="263" spans="1:12" s="28" customFormat="1" ht="15.75">
      <c r="A263" s="91"/>
      <c r="B263" s="91"/>
      <c r="C263" s="80" t="s">
        <v>474</v>
      </c>
      <c r="D263" s="71">
        <f>D265+D267+D273+D276+D280</f>
        <v>4054.17495</v>
      </c>
      <c r="E263" s="71">
        <f>E265+E267+E273+E276+E280</f>
        <v>19</v>
      </c>
      <c r="F263" s="71">
        <f>F265+F267+F273+F276+F280</f>
        <v>2016.5551300000004</v>
      </c>
      <c r="G263" s="71" t="e">
        <f>#REF!+#REF!+#REF!+#REF!+#REF!+#REF!+#REF!+#REF!</f>
        <v>#REF!</v>
      </c>
      <c r="H263" s="68">
        <f t="shared" si="22"/>
        <v>-2037.6198199999997</v>
      </c>
      <c r="I263" s="73">
        <f t="shared" si="23"/>
        <v>49.74020990386713</v>
      </c>
      <c r="J263" s="59"/>
      <c r="L263" s="105"/>
    </row>
    <row r="264" spans="1:12" ht="15.75" hidden="1">
      <c r="A264" s="27" t="s">
        <v>295</v>
      </c>
      <c r="B264" s="64" t="s">
        <v>296</v>
      </c>
      <c r="C264" s="80" t="s">
        <v>392</v>
      </c>
      <c r="D264" s="71"/>
      <c r="E264" s="71"/>
      <c r="F264" s="71"/>
      <c r="G264" s="71"/>
      <c r="H264" s="68">
        <f t="shared" si="22"/>
        <v>0</v>
      </c>
      <c r="I264" s="73" t="e">
        <f t="shared" si="23"/>
        <v>#DIV/0!</v>
      </c>
      <c r="J264" s="2"/>
      <c r="L264" s="40"/>
    </row>
    <row r="265" spans="1:12" ht="20.25" customHeight="1">
      <c r="A265" s="27" t="s">
        <v>295</v>
      </c>
      <c r="B265" s="64" t="s">
        <v>296</v>
      </c>
      <c r="C265" s="74" t="s">
        <v>38</v>
      </c>
      <c r="D265" s="71">
        <v>75.8022</v>
      </c>
      <c r="E265" s="71"/>
      <c r="F265" s="71">
        <v>40.3022</v>
      </c>
      <c r="G265" s="71"/>
      <c r="H265" s="68">
        <f t="shared" si="22"/>
        <v>-35.5</v>
      </c>
      <c r="I265" s="73">
        <f t="shared" si="23"/>
        <v>53.16758616504534</v>
      </c>
      <c r="J265" s="2"/>
      <c r="L265" s="40"/>
    </row>
    <row r="266" spans="1:12" ht="13.5" customHeight="1" hidden="1">
      <c r="A266" s="27" t="s">
        <v>295</v>
      </c>
      <c r="B266" s="64" t="s">
        <v>296</v>
      </c>
      <c r="C266" s="55" t="s">
        <v>473</v>
      </c>
      <c r="D266" s="71">
        <v>0</v>
      </c>
      <c r="E266" s="71"/>
      <c r="F266" s="71"/>
      <c r="G266" s="71"/>
      <c r="H266" s="68">
        <f t="shared" si="22"/>
        <v>0</v>
      </c>
      <c r="I266" s="73" t="e">
        <f t="shared" si="23"/>
        <v>#DIV/0!</v>
      </c>
      <c r="J266" s="2"/>
      <c r="L266" s="40"/>
    </row>
    <row r="267" spans="1:12" ht="15.75">
      <c r="A267" s="17" t="s">
        <v>297</v>
      </c>
      <c r="B267" s="64" t="s">
        <v>298</v>
      </c>
      <c r="C267" s="74" t="s">
        <v>264</v>
      </c>
      <c r="D267" s="71">
        <f>D268+D269+D270+D271+D272</f>
        <v>3797.20275</v>
      </c>
      <c r="E267" s="71">
        <f>E268+E269+E270+E271+E272</f>
        <v>0</v>
      </c>
      <c r="F267" s="71">
        <f>F268+F269+F270+F271+F272</f>
        <v>1896.3592500000002</v>
      </c>
      <c r="G267" s="71"/>
      <c r="H267" s="68">
        <f t="shared" si="22"/>
        <v>-1900.8434999999997</v>
      </c>
      <c r="I267" s="73">
        <f t="shared" si="23"/>
        <v>49.94095324512236</v>
      </c>
      <c r="J267" s="2"/>
      <c r="L267" s="40"/>
    </row>
    <row r="268" spans="1:12" ht="15.75">
      <c r="A268" s="17"/>
      <c r="B268" s="64" t="s">
        <v>356</v>
      </c>
      <c r="C268" s="63" t="s">
        <v>45</v>
      </c>
      <c r="D268" s="71">
        <v>2109.44465</v>
      </c>
      <c r="E268" s="71"/>
      <c r="F268" s="71">
        <v>918.32701</v>
      </c>
      <c r="G268" s="71"/>
      <c r="H268" s="68">
        <f t="shared" si="22"/>
        <v>-1191.11764</v>
      </c>
      <c r="I268" s="73">
        <f t="shared" si="23"/>
        <v>43.53406523370973</v>
      </c>
      <c r="J268" s="2"/>
      <c r="L268" s="40"/>
    </row>
    <row r="269" spans="1:12" ht="15.75">
      <c r="A269" s="17"/>
      <c r="B269" s="64" t="s">
        <v>358</v>
      </c>
      <c r="C269" s="63" t="s">
        <v>44</v>
      </c>
      <c r="D269" s="71">
        <v>1652.7231</v>
      </c>
      <c r="E269" s="71"/>
      <c r="F269" s="71">
        <v>954.46324</v>
      </c>
      <c r="G269" s="71"/>
      <c r="H269" s="68">
        <f t="shared" si="22"/>
        <v>-698.2598599999999</v>
      </c>
      <c r="I269" s="73">
        <f t="shared" si="23"/>
        <v>57.750946906956166</v>
      </c>
      <c r="J269" s="2"/>
      <c r="L269" s="40"/>
    </row>
    <row r="270" spans="1:12" ht="15.75">
      <c r="A270" s="17"/>
      <c r="B270" s="64" t="s">
        <v>360</v>
      </c>
      <c r="C270" s="74" t="s">
        <v>395</v>
      </c>
      <c r="D270" s="71">
        <v>17.684</v>
      </c>
      <c r="E270" s="71"/>
      <c r="F270" s="71">
        <v>14.218</v>
      </c>
      <c r="G270" s="71"/>
      <c r="H270" s="68">
        <f t="shared" si="22"/>
        <v>-3.466000000000001</v>
      </c>
      <c r="I270" s="73">
        <f t="shared" si="23"/>
        <v>80.40036190907034</v>
      </c>
      <c r="J270" s="2"/>
      <c r="L270" s="40"/>
    </row>
    <row r="271" spans="1:12" ht="31.5">
      <c r="A271" s="17"/>
      <c r="B271" s="64" t="s">
        <v>377</v>
      </c>
      <c r="C271" s="74" t="s">
        <v>398</v>
      </c>
      <c r="D271" s="71">
        <v>17.351</v>
      </c>
      <c r="E271" s="71"/>
      <c r="F271" s="71">
        <v>9.351</v>
      </c>
      <c r="G271" s="71"/>
      <c r="H271" s="68">
        <f t="shared" si="22"/>
        <v>-7.999999999999998</v>
      </c>
      <c r="I271" s="73">
        <f t="shared" si="23"/>
        <v>53.89314736902773</v>
      </c>
      <c r="J271" s="2"/>
      <c r="L271" s="40"/>
    </row>
    <row r="272" spans="1:12" ht="20.25" customHeight="1" hidden="1">
      <c r="A272" s="17"/>
      <c r="B272" s="64" t="s">
        <v>372</v>
      </c>
      <c r="C272" s="74" t="s">
        <v>399</v>
      </c>
      <c r="D272" s="71"/>
      <c r="E272" s="71"/>
      <c r="F272" s="71"/>
      <c r="G272" s="71"/>
      <c r="H272" s="68">
        <f t="shared" si="22"/>
        <v>0</v>
      </c>
      <c r="I272" s="73" t="e">
        <f t="shared" si="23"/>
        <v>#DIV/0!</v>
      </c>
      <c r="J272" s="2"/>
      <c r="L272" s="40"/>
    </row>
    <row r="273" spans="1:12" ht="15.75">
      <c r="A273" s="17"/>
      <c r="B273" s="64" t="s">
        <v>300</v>
      </c>
      <c r="C273" s="74" t="s">
        <v>265</v>
      </c>
      <c r="D273" s="71">
        <f>D274+D275</f>
        <v>45.3</v>
      </c>
      <c r="E273" s="71">
        <f>E274+E275</f>
        <v>19</v>
      </c>
      <c r="F273" s="71">
        <f>F274+F275</f>
        <v>12.43098</v>
      </c>
      <c r="G273" s="71"/>
      <c r="H273" s="68">
        <f t="shared" si="22"/>
        <v>-32.86902</v>
      </c>
      <c r="I273" s="73">
        <f t="shared" si="23"/>
        <v>27.441456953642383</v>
      </c>
      <c r="J273" s="2"/>
      <c r="L273" s="40"/>
    </row>
    <row r="274" spans="1:12" ht="63" hidden="1">
      <c r="A274" s="17"/>
      <c r="B274" s="48" t="s">
        <v>19</v>
      </c>
      <c r="C274" s="7" t="s">
        <v>238</v>
      </c>
      <c r="D274" s="1"/>
      <c r="E274" s="15"/>
      <c r="F274" s="4"/>
      <c r="G274" s="5"/>
      <c r="H274" s="69">
        <f t="shared" si="22"/>
        <v>0</v>
      </c>
      <c r="I274" s="70" t="e">
        <f t="shared" si="23"/>
        <v>#DIV/0!</v>
      </c>
      <c r="J274" s="2"/>
      <c r="L274" s="40"/>
    </row>
    <row r="275" spans="1:12" ht="63">
      <c r="A275" s="27" t="s">
        <v>311</v>
      </c>
      <c r="B275" s="48" t="s">
        <v>312</v>
      </c>
      <c r="C275" s="18" t="s">
        <v>34</v>
      </c>
      <c r="D275" s="15">
        <v>45.3</v>
      </c>
      <c r="E275" s="15">
        <v>19</v>
      </c>
      <c r="F275" s="4">
        <v>12.43098</v>
      </c>
      <c r="G275" s="5">
        <f>F275-L267</f>
        <v>12.43098</v>
      </c>
      <c r="H275" s="69">
        <f t="shared" si="22"/>
        <v>-32.86902</v>
      </c>
      <c r="I275" s="70">
        <f t="shared" si="23"/>
        <v>27.441456953642383</v>
      </c>
      <c r="J275" s="2"/>
      <c r="L275" s="40"/>
    </row>
    <row r="276" spans="1:12" ht="15.75">
      <c r="A276" s="19" t="s">
        <v>322</v>
      </c>
      <c r="B276" s="72" t="s">
        <v>335</v>
      </c>
      <c r="C276" s="55" t="s">
        <v>266</v>
      </c>
      <c r="D276" s="71">
        <f>D277+D278+D279</f>
        <v>135.1</v>
      </c>
      <c r="E276" s="71">
        <f>E277+E278+E279</f>
        <v>0</v>
      </c>
      <c r="F276" s="71">
        <f>F277+F278+F279</f>
        <v>66.6927</v>
      </c>
      <c r="G276" s="71"/>
      <c r="H276" s="68">
        <f t="shared" si="22"/>
        <v>-68.40729999999999</v>
      </c>
      <c r="I276" s="73">
        <f t="shared" si="23"/>
        <v>49.365433012583274</v>
      </c>
      <c r="J276" s="2"/>
      <c r="L276" s="40"/>
    </row>
    <row r="277" spans="1:12" ht="22.5" customHeight="1" hidden="1">
      <c r="A277" s="19"/>
      <c r="B277" s="49" t="s">
        <v>445</v>
      </c>
      <c r="C277" s="24" t="s">
        <v>244</v>
      </c>
      <c r="D277" s="12"/>
      <c r="E277" s="12"/>
      <c r="F277" s="12"/>
      <c r="G277" s="12"/>
      <c r="H277" s="69">
        <f t="shared" si="22"/>
        <v>0</v>
      </c>
      <c r="I277" s="70" t="e">
        <f t="shared" si="23"/>
        <v>#DIV/0!</v>
      </c>
      <c r="J277" s="2"/>
      <c r="L277" s="40"/>
    </row>
    <row r="278" spans="1:12" ht="13.5" customHeight="1" hidden="1">
      <c r="A278" s="19"/>
      <c r="B278" s="49" t="s">
        <v>288</v>
      </c>
      <c r="C278" s="24" t="s">
        <v>268</v>
      </c>
      <c r="D278" s="12"/>
      <c r="E278" s="12"/>
      <c r="F278" s="12"/>
      <c r="G278" s="12"/>
      <c r="H278" s="69">
        <f t="shared" si="22"/>
        <v>0</v>
      </c>
      <c r="I278" s="70" t="e">
        <f t="shared" si="23"/>
        <v>#DIV/0!</v>
      </c>
      <c r="J278" s="2"/>
      <c r="L278" s="40"/>
    </row>
    <row r="279" spans="1:12" ht="15.75">
      <c r="A279" s="19"/>
      <c r="B279" s="49" t="s">
        <v>446</v>
      </c>
      <c r="C279" s="99" t="s">
        <v>267</v>
      </c>
      <c r="D279" s="12">
        <v>135.1</v>
      </c>
      <c r="E279" s="12"/>
      <c r="F279" s="12">
        <v>66.6927</v>
      </c>
      <c r="G279" s="12"/>
      <c r="H279" s="69">
        <f t="shared" si="22"/>
        <v>-68.40729999999999</v>
      </c>
      <c r="I279" s="70">
        <f t="shared" si="23"/>
        <v>49.365433012583274</v>
      </c>
      <c r="J279" s="2"/>
      <c r="L279" s="40"/>
    </row>
    <row r="280" spans="1:12" ht="30.75" customHeight="1">
      <c r="A280" s="19"/>
      <c r="B280" s="72" t="s">
        <v>324</v>
      </c>
      <c r="C280" s="3" t="s">
        <v>247</v>
      </c>
      <c r="D280" s="71">
        <f>D281</f>
        <v>0.77</v>
      </c>
      <c r="E280" s="71">
        <f>E281</f>
        <v>0</v>
      </c>
      <c r="F280" s="71">
        <f>F281</f>
        <v>0.77</v>
      </c>
      <c r="G280" s="71"/>
      <c r="H280" s="68">
        <f t="shared" si="22"/>
        <v>0</v>
      </c>
      <c r="I280" s="73">
        <f t="shared" si="23"/>
        <v>100</v>
      </c>
      <c r="J280" s="2"/>
      <c r="L280" s="40"/>
    </row>
    <row r="281" spans="1:12" ht="31.5">
      <c r="A281" s="19"/>
      <c r="B281" s="72" t="s">
        <v>325</v>
      </c>
      <c r="C281" s="3" t="s">
        <v>39</v>
      </c>
      <c r="D281" s="71">
        <v>0.77</v>
      </c>
      <c r="E281" s="71"/>
      <c r="F281" s="71">
        <v>0.77</v>
      </c>
      <c r="G281" s="71"/>
      <c r="H281" s="68">
        <f t="shared" si="22"/>
        <v>0</v>
      </c>
      <c r="I281" s="73">
        <f t="shared" si="23"/>
        <v>100</v>
      </c>
      <c r="J281" s="2"/>
      <c r="L281" s="40"/>
    </row>
    <row r="282" spans="1:12" s="28" customFormat="1" ht="15.75">
      <c r="A282" s="97"/>
      <c r="B282" s="64"/>
      <c r="C282" s="80" t="s">
        <v>476</v>
      </c>
      <c r="D282" s="71">
        <f>D283+D284+D291+D296+D297+D303</f>
        <v>552.4785099999998</v>
      </c>
      <c r="E282" s="71">
        <f>E283+E284+E291+E296+E297+E303</f>
        <v>20.700000000000003</v>
      </c>
      <c r="F282" s="71">
        <f>F283+F284+F291+F296+F297+F303</f>
        <v>547.4076799999998</v>
      </c>
      <c r="G282" s="71"/>
      <c r="H282" s="68">
        <f t="shared" si="22"/>
        <v>-5.070830000000001</v>
      </c>
      <c r="I282" s="73">
        <f t="shared" si="23"/>
        <v>99.0821670149668</v>
      </c>
      <c r="J282" s="59"/>
      <c r="L282" s="105"/>
    </row>
    <row r="283" spans="1:12" ht="24" customHeight="1" hidden="1">
      <c r="A283" s="27"/>
      <c r="B283" s="64" t="s">
        <v>296</v>
      </c>
      <c r="C283" s="80" t="s">
        <v>89</v>
      </c>
      <c r="D283" s="71"/>
      <c r="E283" s="71"/>
      <c r="F283" s="71"/>
      <c r="G283" s="71"/>
      <c r="H283" s="68">
        <f t="shared" si="22"/>
        <v>0</v>
      </c>
      <c r="I283" s="73" t="e">
        <f t="shared" si="23"/>
        <v>#DIV/0!</v>
      </c>
      <c r="J283" s="2"/>
      <c r="L283" s="40"/>
    </row>
    <row r="284" spans="1:12" ht="15.75">
      <c r="A284" s="17" t="s">
        <v>297</v>
      </c>
      <c r="B284" s="64" t="s">
        <v>298</v>
      </c>
      <c r="C284" s="74" t="s">
        <v>264</v>
      </c>
      <c r="D284" s="71">
        <f>D285+D286+D287+D288+D290+D289</f>
        <v>522.4355499999999</v>
      </c>
      <c r="E284" s="71">
        <f>E285+E286+E287+E288+E290+E289</f>
        <v>0</v>
      </c>
      <c r="F284" s="71">
        <f>F285+F286+F287+F288+F290+F289</f>
        <v>519.3388899999999</v>
      </c>
      <c r="G284" s="71"/>
      <c r="H284" s="68">
        <f t="shared" si="22"/>
        <v>-3.0966600000000426</v>
      </c>
      <c r="I284" s="73">
        <f t="shared" si="23"/>
        <v>99.40726468556743</v>
      </c>
      <c r="J284" s="2"/>
      <c r="L284" s="40"/>
    </row>
    <row r="285" spans="1:12" ht="15.75">
      <c r="A285" s="17"/>
      <c r="B285" s="48" t="s">
        <v>356</v>
      </c>
      <c r="C285" s="20" t="s">
        <v>45</v>
      </c>
      <c r="D285" s="12">
        <v>294.2956</v>
      </c>
      <c r="E285" s="12"/>
      <c r="F285" s="12">
        <v>294.2956</v>
      </c>
      <c r="G285" s="12"/>
      <c r="H285" s="69">
        <f aca="true" t="shared" si="24" ref="H285:H305">F285-D285</f>
        <v>0</v>
      </c>
      <c r="I285" s="70">
        <f aca="true" t="shared" si="25" ref="I285:I305">F285/D285*100</f>
        <v>100</v>
      </c>
      <c r="J285" s="2"/>
      <c r="L285" s="40"/>
    </row>
    <row r="286" spans="1:12" ht="15.75">
      <c r="A286" s="17"/>
      <c r="B286" s="48" t="s">
        <v>358</v>
      </c>
      <c r="C286" s="20" t="s">
        <v>44</v>
      </c>
      <c r="D286" s="12">
        <v>221.9822</v>
      </c>
      <c r="E286" s="12"/>
      <c r="F286" s="12">
        <v>218.88554</v>
      </c>
      <c r="G286" s="12"/>
      <c r="H286" s="69">
        <f t="shared" si="24"/>
        <v>-3.096660000000014</v>
      </c>
      <c r="I286" s="70">
        <f t="shared" si="25"/>
        <v>98.60499625645659</v>
      </c>
      <c r="J286" s="2"/>
      <c r="L286" s="40"/>
    </row>
    <row r="287" spans="1:12" ht="15.75">
      <c r="A287" s="17"/>
      <c r="B287" s="48" t="s">
        <v>360</v>
      </c>
      <c r="C287" s="18" t="s">
        <v>395</v>
      </c>
      <c r="D287" s="12">
        <v>6.01375</v>
      </c>
      <c r="E287" s="12"/>
      <c r="F287" s="12">
        <v>6.01375</v>
      </c>
      <c r="G287" s="12"/>
      <c r="H287" s="69">
        <f t="shared" si="24"/>
        <v>0</v>
      </c>
      <c r="I287" s="70">
        <f t="shared" si="25"/>
        <v>100</v>
      </c>
      <c r="J287" s="2"/>
      <c r="L287" s="40"/>
    </row>
    <row r="288" spans="1:12" ht="15" customHeight="1">
      <c r="A288" s="17"/>
      <c r="B288" s="48" t="s">
        <v>375</v>
      </c>
      <c r="C288" s="18" t="s">
        <v>46</v>
      </c>
      <c r="D288" s="12">
        <v>0.144</v>
      </c>
      <c r="E288" s="12"/>
      <c r="F288" s="12">
        <v>0.144</v>
      </c>
      <c r="G288" s="12"/>
      <c r="H288" s="69">
        <f t="shared" si="24"/>
        <v>0</v>
      </c>
      <c r="I288" s="70">
        <f t="shared" si="25"/>
        <v>100</v>
      </c>
      <c r="J288" s="2"/>
      <c r="L288" s="40"/>
    </row>
    <row r="289" spans="1:12" ht="31.5" hidden="1">
      <c r="A289" s="17"/>
      <c r="B289" s="48" t="s">
        <v>377</v>
      </c>
      <c r="C289" s="18" t="s">
        <v>398</v>
      </c>
      <c r="D289" s="12"/>
      <c r="E289" s="12"/>
      <c r="F289" s="12"/>
      <c r="G289" s="12"/>
      <c r="H289" s="69">
        <f t="shared" si="24"/>
        <v>0</v>
      </c>
      <c r="I289" s="70" t="e">
        <f t="shared" si="25"/>
        <v>#DIV/0!</v>
      </c>
      <c r="J289" s="2"/>
      <c r="L289" s="40"/>
    </row>
    <row r="290" spans="1:12" ht="31.5" hidden="1">
      <c r="A290" s="17"/>
      <c r="B290" s="48" t="s">
        <v>372</v>
      </c>
      <c r="C290" s="18" t="s">
        <v>399</v>
      </c>
      <c r="D290" s="12"/>
      <c r="E290" s="12"/>
      <c r="F290" s="12"/>
      <c r="G290" s="12"/>
      <c r="H290" s="69">
        <f t="shared" si="24"/>
        <v>0</v>
      </c>
      <c r="I290" s="70" t="e">
        <f t="shared" si="25"/>
        <v>#DIV/0!</v>
      </c>
      <c r="J290" s="2"/>
      <c r="L290" s="40"/>
    </row>
    <row r="291" spans="1:12" ht="15.75">
      <c r="A291" s="17"/>
      <c r="B291" s="64" t="s">
        <v>300</v>
      </c>
      <c r="C291" s="74" t="s">
        <v>265</v>
      </c>
      <c r="D291" s="71">
        <f>D292+D293+D294+D295</f>
        <v>0.05</v>
      </c>
      <c r="E291" s="71">
        <f>E292+E293+E294+E295</f>
        <v>0</v>
      </c>
      <c r="F291" s="71">
        <f>F292+F293+F294+F295</f>
        <v>0.05</v>
      </c>
      <c r="G291" s="71"/>
      <c r="H291" s="68">
        <f t="shared" si="24"/>
        <v>0</v>
      </c>
      <c r="I291" s="73">
        <f t="shared" si="25"/>
        <v>100</v>
      </c>
      <c r="J291" s="2"/>
      <c r="L291" s="40"/>
    </row>
    <row r="292" spans="1:12" ht="31.5">
      <c r="A292" s="17"/>
      <c r="B292" s="48" t="s">
        <v>309</v>
      </c>
      <c r="C292" s="18" t="s">
        <v>158</v>
      </c>
      <c r="D292" s="12">
        <v>0.05</v>
      </c>
      <c r="E292" s="12"/>
      <c r="F292" s="12">
        <v>0.05</v>
      </c>
      <c r="G292" s="12"/>
      <c r="H292" s="69">
        <f t="shared" si="24"/>
        <v>0</v>
      </c>
      <c r="I292" s="70">
        <f t="shared" si="25"/>
        <v>100</v>
      </c>
      <c r="J292" s="2"/>
      <c r="L292" s="40"/>
    </row>
    <row r="293" spans="1:12" ht="63" hidden="1">
      <c r="A293" s="17"/>
      <c r="B293" s="48" t="s">
        <v>19</v>
      </c>
      <c r="C293" s="7" t="s">
        <v>238</v>
      </c>
      <c r="D293" s="12"/>
      <c r="E293" s="12"/>
      <c r="F293" s="12"/>
      <c r="G293" s="12"/>
      <c r="H293" s="69">
        <f t="shared" si="24"/>
        <v>0</v>
      </c>
      <c r="I293" s="70" t="e">
        <f t="shared" si="25"/>
        <v>#DIV/0!</v>
      </c>
      <c r="J293" s="2"/>
      <c r="L293" s="40"/>
    </row>
    <row r="294" spans="1:12" ht="47.25" hidden="1">
      <c r="A294" s="17"/>
      <c r="B294" s="48" t="s">
        <v>25</v>
      </c>
      <c r="C294" s="3" t="s">
        <v>269</v>
      </c>
      <c r="D294" s="12"/>
      <c r="E294" s="12"/>
      <c r="F294" s="12"/>
      <c r="G294" s="12"/>
      <c r="H294" s="69">
        <f t="shared" si="24"/>
        <v>0</v>
      </c>
      <c r="I294" s="70" t="e">
        <f t="shared" si="25"/>
        <v>#DIV/0!</v>
      </c>
      <c r="J294" s="2"/>
      <c r="L294" s="40"/>
    </row>
    <row r="295" spans="1:12" ht="63" hidden="1">
      <c r="A295" s="17"/>
      <c r="B295" s="48" t="s">
        <v>312</v>
      </c>
      <c r="C295" s="18" t="s">
        <v>34</v>
      </c>
      <c r="D295" s="12"/>
      <c r="E295" s="12"/>
      <c r="F295" s="12"/>
      <c r="G295" s="12"/>
      <c r="H295" s="69">
        <f t="shared" si="24"/>
        <v>0</v>
      </c>
      <c r="I295" s="70" t="e">
        <f t="shared" si="25"/>
        <v>#DIV/0!</v>
      </c>
      <c r="J295" s="2"/>
      <c r="L295" s="40"/>
    </row>
    <row r="296" spans="1:12" ht="63">
      <c r="A296" s="27" t="s">
        <v>311</v>
      </c>
      <c r="B296" s="64" t="s">
        <v>321</v>
      </c>
      <c r="C296" s="55" t="s">
        <v>270</v>
      </c>
      <c r="D296" s="6">
        <v>6.62159</v>
      </c>
      <c r="E296" s="6">
        <v>20.6</v>
      </c>
      <c r="F296" s="6">
        <v>6.45742</v>
      </c>
      <c r="G296" s="5"/>
      <c r="H296" s="68">
        <f t="shared" si="24"/>
        <v>-0.16417000000000037</v>
      </c>
      <c r="I296" s="73">
        <f t="shared" si="25"/>
        <v>97.52068611919493</v>
      </c>
      <c r="J296" s="2"/>
      <c r="L296" s="40"/>
    </row>
    <row r="297" spans="1:12" ht="15.75">
      <c r="A297" s="19" t="s">
        <v>322</v>
      </c>
      <c r="B297" s="72" t="s">
        <v>335</v>
      </c>
      <c r="C297" s="63" t="s">
        <v>266</v>
      </c>
      <c r="D297" s="100">
        <f>D298+D299+D300+D301</f>
        <v>23.37137</v>
      </c>
      <c r="E297" s="100">
        <f>E298+E299+E300+E301</f>
        <v>0</v>
      </c>
      <c r="F297" s="100">
        <f>F298+F299+F300+F301</f>
        <v>21.56137</v>
      </c>
      <c r="G297" s="71"/>
      <c r="H297" s="68">
        <f t="shared" si="24"/>
        <v>-1.8099999999999987</v>
      </c>
      <c r="I297" s="73">
        <f t="shared" si="25"/>
        <v>92.2554818138603</v>
      </c>
      <c r="J297" s="2"/>
      <c r="L297" s="40"/>
    </row>
    <row r="298" spans="1:12" ht="15.75">
      <c r="A298" s="19"/>
      <c r="B298" s="72" t="s">
        <v>444</v>
      </c>
      <c r="C298" s="87" t="s">
        <v>271</v>
      </c>
      <c r="D298" s="100">
        <v>14.61137</v>
      </c>
      <c r="E298" s="71"/>
      <c r="F298" s="71">
        <v>14.61137</v>
      </c>
      <c r="G298" s="71"/>
      <c r="H298" s="68">
        <f t="shared" si="24"/>
        <v>0</v>
      </c>
      <c r="I298" s="73">
        <f t="shared" si="25"/>
        <v>100</v>
      </c>
      <c r="J298" s="2"/>
      <c r="L298" s="40"/>
    </row>
    <row r="299" spans="1:12" ht="15.75" customHeight="1">
      <c r="A299" s="19"/>
      <c r="B299" s="72" t="s">
        <v>445</v>
      </c>
      <c r="C299" s="87" t="s">
        <v>192</v>
      </c>
      <c r="D299" s="100">
        <v>0.55</v>
      </c>
      <c r="E299" s="71"/>
      <c r="F299" s="71">
        <v>0.34</v>
      </c>
      <c r="G299" s="71"/>
      <c r="H299" s="68">
        <f t="shared" si="24"/>
        <v>-0.21000000000000002</v>
      </c>
      <c r="I299" s="73">
        <f t="shared" si="25"/>
        <v>61.81818181818181</v>
      </c>
      <c r="J299" s="2"/>
      <c r="L299" s="40"/>
    </row>
    <row r="300" spans="1:12" ht="15.75">
      <c r="A300" s="19"/>
      <c r="B300" s="72" t="s">
        <v>446</v>
      </c>
      <c r="C300" s="99" t="s">
        <v>267</v>
      </c>
      <c r="D300" s="100">
        <v>2.22</v>
      </c>
      <c r="E300" s="71"/>
      <c r="F300" s="71">
        <v>2.22</v>
      </c>
      <c r="G300" s="71"/>
      <c r="H300" s="68">
        <f t="shared" si="24"/>
        <v>0</v>
      </c>
      <c r="I300" s="73">
        <f t="shared" si="25"/>
        <v>100</v>
      </c>
      <c r="J300" s="2"/>
      <c r="L300" s="40"/>
    </row>
    <row r="301" spans="1:12" ht="31.5">
      <c r="A301" s="19"/>
      <c r="B301" s="72" t="s">
        <v>424</v>
      </c>
      <c r="C301" s="99" t="s">
        <v>281</v>
      </c>
      <c r="D301" s="100">
        <v>5.99</v>
      </c>
      <c r="E301" s="71"/>
      <c r="F301" s="71">
        <v>4.39</v>
      </c>
      <c r="G301" s="71"/>
      <c r="H301" s="68">
        <f t="shared" si="24"/>
        <v>-1.6000000000000005</v>
      </c>
      <c r="I301" s="73">
        <f t="shared" si="25"/>
        <v>73.28881469115191</v>
      </c>
      <c r="J301" s="2"/>
      <c r="L301" s="40"/>
    </row>
    <row r="302" spans="1:12" ht="66" customHeight="1" hidden="1">
      <c r="A302" s="19"/>
      <c r="B302" s="72" t="s">
        <v>415</v>
      </c>
      <c r="C302" s="55" t="s">
        <v>282</v>
      </c>
      <c r="D302" s="100"/>
      <c r="E302" s="71"/>
      <c r="F302" s="71"/>
      <c r="G302" s="71"/>
      <c r="H302" s="68">
        <f t="shared" si="24"/>
        <v>0</v>
      </c>
      <c r="I302" s="76" t="e">
        <f t="shared" si="25"/>
        <v>#DIV/0!</v>
      </c>
      <c r="J302" s="2"/>
      <c r="L302" s="40"/>
    </row>
    <row r="303" spans="1:12" ht="31.5" hidden="1">
      <c r="A303" s="27" t="s">
        <v>323</v>
      </c>
      <c r="B303" s="64" t="s">
        <v>325</v>
      </c>
      <c r="C303" s="80" t="s">
        <v>39</v>
      </c>
      <c r="D303" s="6"/>
      <c r="E303" s="6">
        <v>0.1</v>
      </c>
      <c r="F303" s="5"/>
      <c r="G303" s="5" t="e">
        <f>F303-#REF!</f>
        <v>#REF!</v>
      </c>
      <c r="H303" s="68">
        <f t="shared" si="24"/>
        <v>0</v>
      </c>
      <c r="I303" s="73" t="e">
        <f t="shared" si="25"/>
        <v>#DIV/0!</v>
      </c>
      <c r="J303" s="2"/>
      <c r="L303" s="59"/>
    </row>
    <row r="304" spans="1:12" ht="18" customHeight="1">
      <c r="A304" s="27"/>
      <c r="B304" s="97"/>
      <c r="C304" s="74" t="s">
        <v>391</v>
      </c>
      <c r="D304" s="6">
        <f>D186+D263+D282</f>
        <v>31443.74142</v>
      </c>
      <c r="E304" s="6">
        <f>E186+E263+E282</f>
        <v>155.7</v>
      </c>
      <c r="F304" s="6">
        <f>F186+F263+F282</f>
        <v>11653.07436</v>
      </c>
      <c r="G304" s="6" t="e">
        <f>G263+#REF!+#REF!</f>
        <v>#REF!</v>
      </c>
      <c r="H304" s="68">
        <f t="shared" si="24"/>
        <v>-19790.66706</v>
      </c>
      <c r="I304" s="73">
        <f t="shared" si="25"/>
        <v>37.06007565813395</v>
      </c>
      <c r="L304" s="29"/>
    </row>
    <row r="305" spans="1:12" ht="18" customHeight="1">
      <c r="A305" s="27"/>
      <c r="B305" s="97"/>
      <c r="C305" s="74" t="s">
        <v>290</v>
      </c>
      <c r="D305" s="6">
        <f>D304+D184</f>
        <v>198072.51507999998</v>
      </c>
      <c r="E305" s="6"/>
      <c r="F305" s="6">
        <f>F304+F184</f>
        <v>127679.46019000001</v>
      </c>
      <c r="G305" s="6"/>
      <c r="H305" s="68">
        <f t="shared" si="24"/>
        <v>-70393.05488999997</v>
      </c>
      <c r="I305" s="73">
        <f t="shared" si="25"/>
        <v>64.46096781193052</v>
      </c>
      <c r="L305" s="29"/>
    </row>
    <row r="306" spans="1:12" ht="78" customHeight="1">
      <c r="A306" s="117" t="s">
        <v>28</v>
      </c>
      <c r="B306" s="117"/>
      <c r="C306" s="117"/>
      <c r="D306" s="117"/>
      <c r="E306" s="60"/>
      <c r="F306" s="114" t="s">
        <v>47</v>
      </c>
      <c r="G306" s="114"/>
      <c r="H306" s="114"/>
      <c r="I306" s="114"/>
      <c r="L306" s="29"/>
    </row>
    <row r="307" spans="1:12" ht="18" customHeight="1">
      <c r="A307" s="106"/>
      <c r="B307" s="106"/>
      <c r="C307" s="106"/>
      <c r="G307" s="107"/>
      <c r="H307" s="107"/>
      <c r="L307" s="29"/>
    </row>
    <row r="308" spans="1:12" ht="18" customHeight="1">
      <c r="A308" s="106"/>
      <c r="B308" s="106"/>
      <c r="C308" s="106"/>
      <c r="L308" s="29"/>
    </row>
    <row r="309" spans="3:12" ht="15.75">
      <c r="C309" s="41"/>
      <c r="L309" s="34"/>
    </row>
    <row r="310" spans="3:12" ht="15.75">
      <c r="C310" s="42"/>
      <c r="D310" s="43"/>
      <c r="E310" s="43"/>
      <c r="F310" s="43"/>
      <c r="G310" s="44"/>
      <c r="L310" s="45"/>
    </row>
    <row r="311" spans="3:12" ht="45" customHeight="1">
      <c r="C311" s="41"/>
      <c r="D311" s="9"/>
      <c r="E311" s="9"/>
      <c r="F311" s="9"/>
      <c r="G311" s="46"/>
      <c r="H311" s="9"/>
      <c r="L311" s="45"/>
    </row>
    <row r="312" spans="3:12" ht="84" customHeight="1">
      <c r="C312" s="41"/>
      <c r="D312" s="9"/>
      <c r="E312" s="9"/>
      <c r="F312" s="9"/>
      <c r="G312" s="46"/>
      <c r="L312" s="29"/>
    </row>
    <row r="313" spans="3:12" ht="15.75">
      <c r="C313" s="41"/>
      <c r="L313" s="45"/>
    </row>
    <row r="314" spans="3:12" ht="15.75">
      <c r="C314" s="41"/>
      <c r="D314" s="9"/>
      <c r="E314" s="9"/>
      <c r="F314" s="9"/>
      <c r="G314" s="46"/>
      <c r="L314" s="29"/>
    </row>
    <row r="315" ht="15.75">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sheetData>
  <mergeCells count="11">
    <mergeCell ref="F1:I1"/>
    <mergeCell ref="A4:I4"/>
    <mergeCell ref="A5:I5"/>
    <mergeCell ref="A307:C307"/>
    <mergeCell ref="G307:H307"/>
    <mergeCell ref="A308:C308"/>
    <mergeCell ref="H6:I6"/>
    <mergeCell ref="A9:I9"/>
    <mergeCell ref="A185:I185"/>
    <mergeCell ref="F306:I306"/>
    <mergeCell ref="A306:D306"/>
  </mergeCells>
  <printOptions/>
  <pageMargins left="1.41" right="0.31" top="0.55" bottom="0.19" header="0" footer="0"/>
  <pageSetup blackAndWhite="1" fitToHeight="8"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M428"/>
  <sheetViews>
    <sheetView view="pageBreakPreview" zoomScaleSheetLayoutView="100" workbookViewId="0" topLeftCell="B228">
      <selection activeCell="D232" sqref="D232"/>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hidden="1">
      <c r="C1" s="62"/>
      <c r="E1" s="62" t="s">
        <v>27</v>
      </c>
      <c r="F1" s="118" t="s">
        <v>29</v>
      </c>
      <c r="G1" s="118"/>
      <c r="H1" s="118"/>
      <c r="I1" s="118"/>
    </row>
    <row r="2" spans="5:9" s="52" customFormat="1" ht="26.25" hidden="1">
      <c r="E2" s="62"/>
      <c r="F2" s="78" t="s">
        <v>95</v>
      </c>
      <c r="G2" s="62"/>
      <c r="H2" s="53"/>
      <c r="I2" s="53"/>
    </row>
    <row r="3" spans="5:9" s="52" customFormat="1" ht="26.25" hidden="1">
      <c r="E3" s="62"/>
      <c r="F3" s="78" t="s">
        <v>97</v>
      </c>
      <c r="G3" s="62"/>
      <c r="H3" s="53"/>
      <c r="I3" s="53"/>
    </row>
    <row r="4" spans="1:12" s="52" customFormat="1" ht="24.75" customHeight="1">
      <c r="A4" s="116" t="s">
        <v>24</v>
      </c>
      <c r="B4" s="116"/>
      <c r="C4" s="116"/>
      <c r="D4" s="116"/>
      <c r="E4" s="116"/>
      <c r="F4" s="116"/>
      <c r="G4" s="116"/>
      <c r="H4" s="116"/>
      <c r="I4" s="116"/>
      <c r="J4" s="53"/>
      <c r="L4" s="54"/>
    </row>
    <row r="5" spans="1:12" s="52" customFormat="1" ht="26.25">
      <c r="A5" s="116" t="s">
        <v>187</v>
      </c>
      <c r="B5" s="116"/>
      <c r="C5" s="116"/>
      <c r="D5" s="116"/>
      <c r="E5" s="116"/>
      <c r="F5" s="116"/>
      <c r="G5" s="116"/>
      <c r="H5" s="116"/>
      <c r="I5" s="116"/>
      <c r="J5" s="56"/>
      <c r="L5" s="54"/>
    </row>
    <row r="6" spans="8:13" ht="15.75">
      <c r="H6" s="108" t="s">
        <v>56</v>
      </c>
      <c r="I6" s="108"/>
      <c r="J6" s="30"/>
      <c r="K6" s="31"/>
      <c r="L6" s="30"/>
      <c r="M6" s="31"/>
    </row>
    <row r="7" spans="1:12" ht="78.75">
      <c r="A7" s="32" t="s">
        <v>292</v>
      </c>
      <c r="B7" s="32" t="s">
        <v>293</v>
      </c>
      <c r="C7" s="32" t="s">
        <v>294</v>
      </c>
      <c r="D7" s="33" t="s">
        <v>57</v>
      </c>
      <c r="E7" s="32" t="s">
        <v>456</v>
      </c>
      <c r="F7" s="32" t="s">
        <v>134</v>
      </c>
      <c r="G7" s="33" t="s">
        <v>451</v>
      </c>
      <c r="H7" s="32" t="s">
        <v>59</v>
      </c>
      <c r="I7" s="32" t="s">
        <v>60</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295</v>
      </c>
      <c r="B10" s="79" t="s">
        <v>296</v>
      </c>
      <c r="C10" s="80" t="s">
        <v>98</v>
      </c>
      <c r="D10" s="5">
        <f>SUM(D11:D19)</f>
        <v>11321.58986</v>
      </c>
      <c r="E10" s="5">
        <f>SUM(E11:E19)</f>
        <v>3613.0000000000005</v>
      </c>
      <c r="F10" s="5">
        <f>SUM(F11:F19)</f>
        <v>8854.15617</v>
      </c>
      <c r="G10" s="5" t="e">
        <f>SUM(G11:G19)</f>
        <v>#REF!</v>
      </c>
      <c r="H10" s="5">
        <f aca="true" t="shared" si="0" ref="H10:H34">F10-D10</f>
        <v>-2467.43369</v>
      </c>
      <c r="I10" s="6">
        <f aca="true" t="shared" si="1" ref="I10:I26">F10/D10*100</f>
        <v>78.20594350694842</v>
      </c>
      <c r="J10" s="2"/>
      <c r="L10" s="37"/>
    </row>
    <row r="11" spans="1:12" ht="15.75">
      <c r="A11" s="17" t="s">
        <v>295</v>
      </c>
      <c r="B11" s="48" t="s">
        <v>296</v>
      </c>
      <c r="C11" s="18" t="s">
        <v>114</v>
      </c>
      <c r="D11" s="6">
        <v>673.467</v>
      </c>
      <c r="E11" s="1">
        <v>314.3</v>
      </c>
      <c r="F11" s="4">
        <v>597.83124</v>
      </c>
      <c r="G11" s="5">
        <f>F11-L10</f>
        <v>597.83124</v>
      </c>
      <c r="H11" s="4">
        <f t="shared" si="0"/>
        <v>-75.63576</v>
      </c>
      <c r="I11" s="1">
        <f t="shared" si="1"/>
        <v>88.7691958180579</v>
      </c>
      <c r="J11" s="2"/>
      <c r="L11" s="37"/>
    </row>
    <row r="12" spans="1:12" ht="31.5">
      <c r="A12" s="17" t="s">
        <v>295</v>
      </c>
      <c r="B12" s="48" t="s">
        <v>296</v>
      </c>
      <c r="C12" s="18" t="s">
        <v>118</v>
      </c>
      <c r="D12" s="6">
        <f>5185.09256</f>
        <v>5185.09256</v>
      </c>
      <c r="E12" s="1">
        <v>1487.3</v>
      </c>
      <c r="F12" s="4">
        <v>3980.91721</v>
      </c>
      <c r="G12" s="5">
        <f>F12-L11</f>
        <v>3980.91721</v>
      </c>
      <c r="H12" s="4">
        <f t="shared" si="0"/>
        <v>-1204.17535</v>
      </c>
      <c r="I12" s="1">
        <f t="shared" si="1"/>
        <v>76.77620339336816</v>
      </c>
      <c r="J12" s="2"/>
      <c r="L12" s="37"/>
    </row>
    <row r="13" spans="1:12" ht="47.25">
      <c r="A13" s="17"/>
      <c r="B13" s="48" t="s">
        <v>296</v>
      </c>
      <c r="C13" s="18" t="s">
        <v>251</v>
      </c>
      <c r="D13" s="6">
        <f>42.653-5</f>
        <v>37.653</v>
      </c>
      <c r="E13" s="1"/>
      <c r="F13" s="4">
        <v>6.109</v>
      </c>
      <c r="G13" s="5"/>
      <c r="H13" s="4">
        <f t="shared" si="0"/>
        <v>-31.543999999999997</v>
      </c>
      <c r="I13" s="1">
        <f t="shared" si="1"/>
        <v>16.22447082569782</v>
      </c>
      <c r="J13" s="2"/>
      <c r="L13" s="37"/>
    </row>
    <row r="14" spans="1:12" ht="31.5">
      <c r="A14" s="17" t="s">
        <v>295</v>
      </c>
      <c r="B14" s="48" t="s">
        <v>296</v>
      </c>
      <c r="C14" s="18" t="s">
        <v>119</v>
      </c>
      <c r="D14" s="6">
        <v>1142.398</v>
      </c>
      <c r="E14" s="1">
        <v>432.3</v>
      </c>
      <c r="F14" s="4">
        <v>835.05244</v>
      </c>
      <c r="G14" s="5">
        <f>F14-L12</f>
        <v>835.05244</v>
      </c>
      <c r="H14" s="4">
        <f t="shared" si="0"/>
        <v>-307.34555999999986</v>
      </c>
      <c r="I14" s="1">
        <f t="shared" si="1"/>
        <v>73.09645500079658</v>
      </c>
      <c r="J14" s="2"/>
      <c r="L14" s="37"/>
    </row>
    <row r="15" spans="1:12" ht="31.5">
      <c r="A15" s="17" t="s">
        <v>295</v>
      </c>
      <c r="B15" s="48" t="s">
        <v>296</v>
      </c>
      <c r="C15" s="7" t="s">
        <v>120</v>
      </c>
      <c r="D15" s="6">
        <v>1838.62908</v>
      </c>
      <c r="E15" s="1">
        <v>549.7</v>
      </c>
      <c r="F15" s="4">
        <v>1480.7679</v>
      </c>
      <c r="G15" s="5">
        <f>F15-L14</f>
        <v>1480.7679</v>
      </c>
      <c r="H15" s="4">
        <f t="shared" si="0"/>
        <v>-357.8611799999999</v>
      </c>
      <c r="I15" s="1">
        <f t="shared" si="1"/>
        <v>80.53652126507214</v>
      </c>
      <c r="J15" s="2"/>
      <c r="L15" s="37"/>
    </row>
    <row r="16" spans="1:12" ht="47.25">
      <c r="A16" s="17" t="s">
        <v>295</v>
      </c>
      <c r="B16" s="48" t="s">
        <v>296</v>
      </c>
      <c r="C16" s="7" t="s">
        <v>121</v>
      </c>
      <c r="D16" s="6">
        <v>848.6</v>
      </c>
      <c r="E16" s="1">
        <v>309</v>
      </c>
      <c r="F16" s="4">
        <v>647.53643</v>
      </c>
      <c r="G16" s="5">
        <f>F16-L15</f>
        <v>647.53643</v>
      </c>
      <c r="H16" s="4">
        <f t="shared" si="0"/>
        <v>-201.06357000000003</v>
      </c>
      <c r="I16" s="1">
        <f t="shared" si="1"/>
        <v>76.30643766203158</v>
      </c>
      <c r="J16" s="2"/>
      <c r="L16" s="37"/>
    </row>
    <row r="17" spans="1:12" ht="31.5">
      <c r="A17" s="17" t="s">
        <v>295</v>
      </c>
      <c r="B17" s="48" t="s">
        <v>296</v>
      </c>
      <c r="C17" s="7" t="s">
        <v>122</v>
      </c>
      <c r="D17" s="6">
        <v>763.1878</v>
      </c>
      <c r="E17" s="1">
        <v>258.7</v>
      </c>
      <c r="F17" s="4">
        <v>638.12657</v>
      </c>
      <c r="G17" s="5">
        <f>F17-L16</f>
        <v>638.12657</v>
      </c>
      <c r="H17" s="4">
        <f t="shared" si="0"/>
        <v>-125.06123000000002</v>
      </c>
      <c r="I17" s="1">
        <f t="shared" si="1"/>
        <v>83.61330854607476</v>
      </c>
      <c r="J17" s="2"/>
      <c r="L17" s="37"/>
    </row>
    <row r="18" spans="1:12" ht="31.5">
      <c r="A18" s="17" t="s">
        <v>295</v>
      </c>
      <c r="B18" s="48" t="s">
        <v>296</v>
      </c>
      <c r="C18" s="18" t="s">
        <v>123</v>
      </c>
      <c r="D18" s="6">
        <f>441.5034+1.2</f>
        <v>442.7034</v>
      </c>
      <c r="E18" s="1">
        <v>132.9</v>
      </c>
      <c r="F18" s="4">
        <v>353.41062</v>
      </c>
      <c r="G18" s="5" t="e">
        <f>F18-#REF!</f>
        <v>#REF!</v>
      </c>
      <c r="H18" s="4">
        <f t="shared" si="0"/>
        <v>-89.29278</v>
      </c>
      <c r="I18" s="1">
        <f t="shared" si="1"/>
        <v>79.8301119892009</v>
      </c>
      <c r="J18" s="2"/>
      <c r="L18" s="37"/>
    </row>
    <row r="19" spans="1:12" ht="31.5">
      <c r="A19" s="17" t="s">
        <v>295</v>
      </c>
      <c r="B19" s="48" t="s">
        <v>296</v>
      </c>
      <c r="C19" s="18" t="s">
        <v>124</v>
      </c>
      <c r="D19" s="6">
        <v>389.85902</v>
      </c>
      <c r="E19" s="1">
        <v>128.8</v>
      </c>
      <c r="F19" s="4">
        <v>314.40476</v>
      </c>
      <c r="G19" s="5">
        <f>F19-L18</f>
        <v>314.40476</v>
      </c>
      <c r="H19" s="4">
        <f t="shared" si="0"/>
        <v>-75.45425999999998</v>
      </c>
      <c r="I19" s="1">
        <f t="shared" si="1"/>
        <v>80.6457575356343</v>
      </c>
      <c r="J19" s="2"/>
      <c r="L19" s="2"/>
    </row>
    <row r="20" spans="1:12" ht="63">
      <c r="A20" s="17"/>
      <c r="B20" s="72" t="s">
        <v>478</v>
      </c>
      <c r="C20" s="55" t="s">
        <v>125</v>
      </c>
      <c r="D20" s="46">
        <v>7.81</v>
      </c>
      <c r="E20" s="46"/>
      <c r="F20" s="5">
        <v>0</v>
      </c>
      <c r="G20" s="5"/>
      <c r="H20" s="5">
        <f t="shared" si="0"/>
        <v>-7.81</v>
      </c>
      <c r="I20" s="6">
        <f t="shared" si="1"/>
        <v>0</v>
      </c>
      <c r="J20" s="2"/>
      <c r="L20" s="2"/>
    </row>
    <row r="21" spans="1:12" ht="15.75">
      <c r="A21" s="17" t="s">
        <v>297</v>
      </c>
      <c r="B21" s="64" t="s">
        <v>298</v>
      </c>
      <c r="C21" s="74" t="s">
        <v>99</v>
      </c>
      <c r="D21" s="6">
        <f>SUM(D22:D28)</f>
        <v>61856.70632999999</v>
      </c>
      <c r="E21" s="6">
        <f>SUM(E22:E28)</f>
        <v>21838.1</v>
      </c>
      <c r="F21" s="6">
        <f>SUM(F22:F28)</f>
        <v>48346.02793</v>
      </c>
      <c r="G21" s="6">
        <f>SUM(G22:G28)</f>
        <v>48344.513929999994</v>
      </c>
      <c r="H21" s="5">
        <f t="shared" si="0"/>
        <v>-13510.678399999997</v>
      </c>
      <c r="I21" s="6">
        <f t="shared" si="1"/>
        <v>78.1581024894508</v>
      </c>
      <c r="J21" s="2"/>
      <c r="L21" s="37"/>
    </row>
    <row r="22" spans="1:12" ht="15.75">
      <c r="A22" s="17" t="s">
        <v>357</v>
      </c>
      <c r="B22" s="64" t="s">
        <v>356</v>
      </c>
      <c r="C22" s="74" t="s">
        <v>393</v>
      </c>
      <c r="D22" s="6">
        <v>22171.19231</v>
      </c>
      <c r="E22" s="6">
        <v>7100.2</v>
      </c>
      <c r="F22" s="5">
        <v>17303.45929</v>
      </c>
      <c r="G22" s="5">
        <f>F22-L21</f>
        <v>17303.45929</v>
      </c>
      <c r="H22" s="5">
        <f t="shared" si="0"/>
        <v>-4867.73302</v>
      </c>
      <c r="I22" s="6">
        <f t="shared" si="1"/>
        <v>78.0447846379264</v>
      </c>
      <c r="J22" s="2"/>
      <c r="L22" s="37"/>
    </row>
    <row r="23" spans="1:12" ht="33" customHeight="1">
      <c r="A23" s="17"/>
      <c r="B23" s="64" t="s">
        <v>356</v>
      </c>
      <c r="C23" s="74" t="s">
        <v>126</v>
      </c>
      <c r="D23" s="6">
        <v>1.514</v>
      </c>
      <c r="E23" s="6"/>
      <c r="F23" s="5">
        <v>1.514</v>
      </c>
      <c r="G23" s="5"/>
      <c r="H23" s="5">
        <f t="shared" si="0"/>
        <v>0</v>
      </c>
      <c r="I23" s="6">
        <f t="shared" si="1"/>
        <v>100</v>
      </c>
      <c r="J23" s="2"/>
      <c r="L23" s="37"/>
    </row>
    <row r="24" spans="1:12" ht="15.75">
      <c r="A24" s="17" t="s">
        <v>359</v>
      </c>
      <c r="B24" s="64" t="s">
        <v>358</v>
      </c>
      <c r="C24" s="74" t="s">
        <v>394</v>
      </c>
      <c r="D24" s="6">
        <v>32339.53356</v>
      </c>
      <c r="E24" s="6">
        <v>12055.3</v>
      </c>
      <c r="F24" s="5">
        <v>25336.33652</v>
      </c>
      <c r="G24" s="5">
        <f>F24-L22</f>
        <v>25336.33652</v>
      </c>
      <c r="H24" s="5">
        <f t="shared" si="0"/>
        <v>-7003.197039999999</v>
      </c>
      <c r="I24" s="6">
        <f t="shared" si="1"/>
        <v>78.3447803073385</v>
      </c>
      <c r="J24" s="2"/>
      <c r="L24" s="37"/>
    </row>
    <row r="25" spans="1:12" ht="31.5">
      <c r="A25" s="17" t="s">
        <v>357</v>
      </c>
      <c r="B25" s="64" t="s">
        <v>457</v>
      </c>
      <c r="C25" s="74" t="s">
        <v>127</v>
      </c>
      <c r="D25" s="6">
        <v>230.672</v>
      </c>
      <c r="E25" s="6">
        <v>59.1</v>
      </c>
      <c r="F25" s="5">
        <v>230.6673</v>
      </c>
      <c r="G25" s="5">
        <f>F25-L24</f>
        <v>230.6673</v>
      </c>
      <c r="H25" s="5">
        <f t="shared" si="0"/>
        <v>-0.0046999999999854936</v>
      </c>
      <c r="I25" s="6">
        <f t="shared" si="1"/>
        <v>99.99796247485608</v>
      </c>
      <c r="J25" s="2"/>
      <c r="L25" s="37"/>
    </row>
    <row r="26" spans="1:12" ht="21.75" customHeight="1">
      <c r="A26" s="17" t="s">
        <v>361</v>
      </c>
      <c r="B26" s="64" t="s">
        <v>360</v>
      </c>
      <c r="C26" s="74" t="s">
        <v>395</v>
      </c>
      <c r="D26" s="6">
        <v>3208.3155</v>
      </c>
      <c r="E26" s="6">
        <v>1069.7</v>
      </c>
      <c r="F26" s="5">
        <v>2519.86455</v>
      </c>
      <c r="G26" s="5">
        <f>F26-L25</f>
        <v>2519.86455</v>
      </c>
      <c r="H26" s="5">
        <f t="shared" si="0"/>
        <v>-688.4509500000004</v>
      </c>
      <c r="I26" s="6">
        <f t="shared" si="1"/>
        <v>78.5416692965514</v>
      </c>
      <c r="J26" s="2"/>
      <c r="L26" s="37"/>
    </row>
    <row r="27" spans="1:12" ht="19.5" customHeight="1" hidden="1">
      <c r="A27" s="17" t="s">
        <v>361</v>
      </c>
      <c r="B27" s="64" t="s">
        <v>360</v>
      </c>
      <c r="C27" s="74" t="s">
        <v>388</v>
      </c>
      <c r="D27" s="6"/>
      <c r="E27" s="6"/>
      <c r="F27" s="5"/>
      <c r="G27" s="5">
        <f>F27-L26</f>
        <v>0</v>
      </c>
      <c r="H27" s="5">
        <f t="shared" si="0"/>
        <v>0</v>
      </c>
      <c r="I27" s="6"/>
      <c r="J27" s="2"/>
      <c r="L27" s="37"/>
    </row>
    <row r="28" spans="1:12" ht="15.75">
      <c r="A28" s="17" t="s">
        <v>362</v>
      </c>
      <c r="B28" s="64" t="s">
        <v>363</v>
      </c>
      <c r="C28" s="74" t="s">
        <v>100</v>
      </c>
      <c r="D28" s="5">
        <f>SUM(D29:D35)</f>
        <v>3905.4789599999995</v>
      </c>
      <c r="E28" s="5">
        <f>SUM(E29:E35)</f>
        <v>1553.8000000000002</v>
      </c>
      <c r="F28" s="5">
        <f>SUM(F29:F35)</f>
        <v>2954.1862699999997</v>
      </c>
      <c r="G28" s="5">
        <f>SUM(G29:G35)</f>
        <v>2954.1862699999997</v>
      </c>
      <c r="H28" s="5">
        <f t="shared" si="0"/>
        <v>-951.2926899999998</v>
      </c>
      <c r="I28" s="6">
        <f aca="true" t="shared" si="2" ref="I28:I34">F28/D28*100</f>
        <v>75.64209922155105</v>
      </c>
      <c r="J28" s="2"/>
      <c r="L28" s="37"/>
    </row>
    <row r="29" spans="1:12" ht="24" customHeight="1">
      <c r="A29" s="17" t="s">
        <v>362</v>
      </c>
      <c r="B29" s="48" t="s">
        <v>375</v>
      </c>
      <c r="C29" s="18" t="s">
        <v>396</v>
      </c>
      <c r="D29" s="1">
        <v>632.073</v>
      </c>
      <c r="E29" s="1">
        <v>171.2</v>
      </c>
      <c r="F29" s="4">
        <v>493.29093</v>
      </c>
      <c r="G29" s="5">
        <f aca="true" t="shared" si="3" ref="G29:G35">F29-L28</f>
        <v>493.29093</v>
      </c>
      <c r="H29" s="4">
        <f t="shared" si="0"/>
        <v>-138.78206999999998</v>
      </c>
      <c r="I29" s="1">
        <f t="shared" si="2"/>
        <v>78.04334784115127</v>
      </c>
      <c r="J29" s="2"/>
      <c r="L29" s="37"/>
    </row>
    <row r="30" spans="1:12" ht="15.75">
      <c r="A30" s="17" t="s">
        <v>362</v>
      </c>
      <c r="B30" s="48" t="s">
        <v>376</v>
      </c>
      <c r="C30" s="18" t="s">
        <v>397</v>
      </c>
      <c r="D30" s="1">
        <v>1116.14175</v>
      </c>
      <c r="E30" s="1">
        <v>275.5</v>
      </c>
      <c r="F30" s="4">
        <v>885.51128</v>
      </c>
      <c r="G30" s="5">
        <f t="shared" si="3"/>
        <v>885.51128</v>
      </c>
      <c r="H30" s="4">
        <f t="shared" si="0"/>
        <v>-230.63046999999995</v>
      </c>
      <c r="I30" s="1">
        <f t="shared" si="2"/>
        <v>79.33681183415996</v>
      </c>
      <c r="J30" s="2"/>
      <c r="L30" s="37"/>
    </row>
    <row r="31" spans="1:12" ht="33" customHeight="1">
      <c r="A31" s="17" t="s">
        <v>362</v>
      </c>
      <c r="B31" s="48" t="s">
        <v>377</v>
      </c>
      <c r="C31" s="18" t="s">
        <v>398</v>
      </c>
      <c r="D31" s="1">
        <v>829.09021</v>
      </c>
      <c r="E31" s="1">
        <v>185</v>
      </c>
      <c r="F31" s="4">
        <v>686.62173</v>
      </c>
      <c r="G31" s="5">
        <f t="shared" si="3"/>
        <v>686.62173</v>
      </c>
      <c r="H31" s="4">
        <f t="shared" si="0"/>
        <v>-142.46848</v>
      </c>
      <c r="I31" s="1">
        <f t="shared" si="2"/>
        <v>82.81628726504924</v>
      </c>
      <c r="J31" s="2"/>
      <c r="L31" s="37"/>
    </row>
    <row r="32" spans="1:12" ht="18.75" customHeight="1">
      <c r="A32" s="17" t="s">
        <v>362</v>
      </c>
      <c r="B32" s="48" t="s">
        <v>372</v>
      </c>
      <c r="C32" s="18" t="s">
        <v>399</v>
      </c>
      <c r="D32" s="1">
        <v>1046.523</v>
      </c>
      <c r="E32" s="1">
        <v>439.2</v>
      </c>
      <c r="F32" s="4">
        <v>831.30761</v>
      </c>
      <c r="G32" s="5">
        <f t="shared" si="3"/>
        <v>831.30761</v>
      </c>
      <c r="H32" s="4">
        <f t="shared" si="0"/>
        <v>-215.21538999999996</v>
      </c>
      <c r="I32" s="1">
        <f t="shared" si="2"/>
        <v>79.43519731530029</v>
      </c>
      <c r="J32" s="2"/>
      <c r="L32" s="37"/>
    </row>
    <row r="33" spans="1:12" ht="35.25" customHeight="1">
      <c r="A33" s="17" t="s">
        <v>362</v>
      </c>
      <c r="B33" s="48" t="s">
        <v>434</v>
      </c>
      <c r="C33" s="18" t="s">
        <v>128</v>
      </c>
      <c r="D33" s="1">
        <v>274.411</v>
      </c>
      <c r="E33" s="1">
        <v>76</v>
      </c>
      <c r="F33" s="4">
        <v>56.35472</v>
      </c>
      <c r="G33" s="5">
        <f t="shared" si="3"/>
        <v>56.35472</v>
      </c>
      <c r="H33" s="4">
        <f t="shared" si="0"/>
        <v>-218.05628000000002</v>
      </c>
      <c r="I33" s="1">
        <f t="shared" si="2"/>
        <v>20.53661114168164</v>
      </c>
      <c r="J33" s="2"/>
      <c r="L33" s="37"/>
    </row>
    <row r="34" spans="1:12" ht="30" customHeight="1">
      <c r="A34" s="19" t="s">
        <v>362</v>
      </c>
      <c r="B34" s="49" t="s">
        <v>422</v>
      </c>
      <c r="C34" s="7" t="s">
        <v>423</v>
      </c>
      <c r="D34" s="1">
        <v>7.24</v>
      </c>
      <c r="E34" s="1">
        <v>4</v>
      </c>
      <c r="F34" s="4">
        <v>1.1</v>
      </c>
      <c r="G34" s="5">
        <f t="shared" si="3"/>
        <v>1.1</v>
      </c>
      <c r="H34" s="4">
        <f t="shared" si="0"/>
        <v>-6.140000000000001</v>
      </c>
      <c r="I34" s="1">
        <f t="shared" si="2"/>
        <v>15.193370165745856</v>
      </c>
      <c r="J34" s="2"/>
      <c r="L34" s="37"/>
    </row>
    <row r="35" spans="1:12" ht="1.5" customHeight="1" hidden="1">
      <c r="A35" s="19" t="s">
        <v>362</v>
      </c>
      <c r="B35" s="49" t="s">
        <v>430</v>
      </c>
      <c r="C35" s="18" t="s">
        <v>460</v>
      </c>
      <c r="D35" s="1"/>
      <c r="E35" s="1">
        <v>402.9</v>
      </c>
      <c r="F35" s="4"/>
      <c r="G35" s="5">
        <f t="shared" si="3"/>
        <v>0</v>
      </c>
      <c r="H35" s="4"/>
      <c r="I35" s="1"/>
      <c r="J35" s="2"/>
      <c r="K35" s="2"/>
      <c r="L35" s="2"/>
    </row>
    <row r="36" spans="1:12" ht="15.75" hidden="1">
      <c r="A36" s="17" t="s">
        <v>400</v>
      </c>
      <c r="B36" s="48" t="s">
        <v>299</v>
      </c>
      <c r="C36" s="18" t="s">
        <v>401</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345</v>
      </c>
      <c r="B37" s="48" t="s">
        <v>346</v>
      </c>
      <c r="C37" s="7" t="s">
        <v>426</v>
      </c>
      <c r="D37" s="1"/>
      <c r="E37" s="1"/>
      <c r="F37" s="4"/>
      <c r="G37" s="5">
        <f>F37-L36</f>
        <v>0</v>
      </c>
      <c r="H37" s="4">
        <f t="shared" si="4"/>
        <v>0</v>
      </c>
      <c r="I37" s="1" t="e">
        <f t="shared" si="5"/>
        <v>#DIV/0!</v>
      </c>
      <c r="J37" s="2"/>
      <c r="L37" s="2"/>
    </row>
    <row r="38" spans="1:12" ht="33.75" customHeight="1">
      <c r="A38" s="17" t="s">
        <v>402</v>
      </c>
      <c r="B38" s="64" t="s">
        <v>300</v>
      </c>
      <c r="C38" s="55" t="s">
        <v>101</v>
      </c>
      <c r="D38" s="6">
        <f>D39+D52+D91+D93+D104+D110+D60+D92</f>
        <v>36539.93665</v>
      </c>
      <c r="E38" s="6">
        <f>E39+E52+E91+E93+E104+E110+E60+E92</f>
        <v>5469.299999999999</v>
      </c>
      <c r="F38" s="6">
        <f>F39+F52+F60+F91+F92+F93+F104+F110</f>
        <v>28552.59208999999</v>
      </c>
      <c r="G38" s="6" t="e">
        <f>G39+G52+G61+G62+#REF!+G83+G87+G90+G91+G93+G104+G111</f>
        <v>#REF!</v>
      </c>
      <c r="H38" s="5">
        <f t="shared" si="4"/>
        <v>-7987.344560000012</v>
      </c>
      <c r="I38" s="6">
        <f t="shared" si="5"/>
        <v>78.14078158780822</v>
      </c>
      <c r="J38" s="2"/>
      <c r="L38" s="2"/>
    </row>
    <row r="39" spans="1:12" ht="31.5">
      <c r="A39" s="17"/>
      <c r="B39" s="79" t="s">
        <v>440</v>
      </c>
      <c r="C39" s="74" t="s">
        <v>102</v>
      </c>
      <c r="D39" s="6">
        <f>SUM(D40:D51)</f>
        <v>3576.1720000000005</v>
      </c>
      <c r="E39" s="6">
        <f>SUM(E40:E51)</f>
        <v>1141.1</v>
      </c>
      <c r="F39" s="6">
        <f>SUM(F40:F51)</f>
        <v>2259.5371600000003</v>
      </c>
      <c r="G39" s="6">
        <f>SUM(G40:G50)</f>
        <v>2118.30243</v>
      </c>
      <c r="H39" s="5">
        <f t="shared" si="4"/>
        <v>-1316.6348400000002</v>
      </c>
      <c r="I39" s="6">
        <f t="shared" si="5"/>
        <v>63.183123183113125</v>
      </c>
      <c r="J39" s="2"/>
      <c r="L39" s="37"/>
    </row>
    <row r="40" spans="1:12" ht="78.75">
      <c r="A40" s="17" t="s">
        <v>301</v>
      </c>
      <c r="B40" s="64" t="s">
        <v>302</v>
      </c>
      <c r="C40" s="83" t="s">
        <v>239</v>
      </c>
      <c r="D40" s="6">
        <v>1600</v>
      </c>
      <c r="E40" s="6">
        <v>482.5</v>
      </c>
      <c r="F40" s="5">
        <v>895.86079</v>
      </c>
      <c r="G40" s="5">
        <f aca="true" t="shared" si="6" ref="G40:G50">F40-L39</f>
        <v>895.86079</v>
      </c>
      <c r="H40" s="5">
        <f t="shared" si="4"/>
        <v>-704.13921</v>
      </c>
      <c r="I40" s="6">
        <f t="shared" si="5"/>
        <v>55.99129937499999</v>
      </c>
      <c r="J40" s="2"/>
      <c r="L40" s="37"/>
    </row>
    <row r="41" spans="1:12" ht="78.75">
      <c r="A41" s="17" t="s">
        <v>301</v>
      </c>
      <c r="B41" s="64" t="s">
        <v>348</v>
      </c>
      <c r="C41" s="82" t="s">
        <v>239</v>
      </c>
      <c r="D41" s="6">
        <v>2.5202</v>
      </c>
      <c r="E41" s="6">
        <v>10.7</v>
      </c>
      <c r="F41" s="5">
        <v>1.8022</v>
      </c>
      <c r="G41" s="5">
        <f t="shared" si="6"/>
        <v>1.8022</v>
      </c>
      <c r="H41" s="5">
        <f t="shared" si="4"/>
        <v>-0.718</v>
      </c>
      <c r="I41" s="6">
        <f t="shared" si="5"/>
        <v>71.51019760336482</v>
      </c>
      <c r="J41" s="2"/>
      <c r="L41" s="37"/>
    </row>
    <row r="42" spans="1:12" ht="78.75">
      <c r="A42" s="17" t="s">
        <v>301</v>
      </c>
      <c r="B42" s="64" t="s">
        <v>349</v>
      </c>
      <c r="C42" s="82" t="s">
        <v>240</v>
      </c>
      <c r="D42" s="6">
        <v>16</v>
      </c>
      <c r="E42" s="6">
        <v>105.6</v>
      </c>
      <c r="F42" s="5">
        <v>11.54729</v>
      </c>
      <c r="G42" s="5">
        <f t="shared" si="6"/>
        <v>11.54729</v>
      </c>
      <c r="H42" s="5">
        <f t="shared" si="4"/>
        <v>-4.45271</v>
      </c>
      <c r="I42" s="6">
        <f t="shared" si="5"/>
        <v>72.1705625</v>
      </c>
      <c r="J42" s="2"/>
      <c r="L42" s="37"/>
    </row>
    <row r="43" spans="1:12" ht="78.75">
      <c r="A43" s="17" t="s">
        <v>301</v>
      </c>
      <c r="B43" s="64" t="s">
        <v>350</v>
      </c>
      <c r="C43" s="84" t="s">
        <v>241</v>
      </c>
      <c r="D43" s="6">
        <v>396.8</v>
      </c>
      <c r="E43" s="6">
        <v>108.4</v>
      </c>
      <c r="F43" s="5">
        <v>258.43221</v>
      </c>
      <c r="G43" s="5">
        <f t="shared" si="6"/>
        <v>258.43221</v>
      </c>
      <c r="H43" s="5">
        <f t="shared" si="4"/>
        <v>-138.36779</v>
      </c>
      <c r="I43" s="6">
        <f t="shared" si="5"/>
        <v>65.1290851814516</v>
      </c>
      <c r="J43" s="2"/>
      <c r="L43" s="37"/>
    </row>
    <row r="44" spans="1:12" ht="67.5" customHeight="1" hidden="1">
      <c r="A44" s="17" t="s">
        <v>301</v>
      </c>
      <c r="B44" s="64" t="s">
        <v>429</v>
      </c>
      <c r="C44" s="81" t="s">
        <v>11</v>
      </c>
      <c r="D44" s="6">
        <v>0</v>
      </c>
      <c r="E44" s="6">
        <v>0.2</v>
      </c>
      <c r="F44" s="5">
        <v>0</v>
      </c>
      <c r="G44" s="5">
        <f t="shared" si="6"/>
        <v>0</v>
      </c>
      <c r="H44" s="5">
        <f t="shared" si="4"/>
        <v>0</v>
      </c>
      <c r="I44" s="6" t="e">
        <f t="shared" si="5"/>
        <v>#DIV/0!</v>
      </c>
      <c r="J44" s="2"/>
      <c r="L44" s="37"/>
    </row>
    <row r="45" spans="1:12" ht="0.75" customHeight="1" hidden="1">
      <c r="A45" s="17" t="s">
        <v>301</v>
      </c>
      <c r="B45" s="64" t="s">
        <v>387</v>
      </c>
      <c r="C45" s="63" t="s">
        <v>6</v>
      </c>
      <c r="D45" s="6"/>
      <c r="E45" s="6">
        <v>5</v>
      </c>
      <c r="F45" s="5"/>
      <c r="G45" s="5">
        <f t="shared" si="6"/>
        <v>0</v>
      </c>
      <c r="H45" s="5">
        <f t="shared" si="4"/>
        <v>0</v>
      </c>
      <c r="I45" s="6" t="e">
        <f t="shared" si="5"/>
        <v>#DIV/0!</v>
      </c>
      <c r="J45" s="2"/>
      <c r="L45" s="37"/>
    </row>
    <row r="46" spans="1:12" ht="77.25" customHeight="1">
      <c r="A46" s="17" t="s">
        <v>326</v>
      </c>
      <c r="B46" s="64" t="s">
        <v>368</v>
      </c>
      <c r="C46" s="83" t="s">
        <v>142</v>
      </c>
      <c r="D46" s="6">
        <v>1000</v>
      </c>
      <c r="E46" s="6">
        <v>286.4</v>
      </c>
      <c r="F46" s="5">
        <v>647.22186</v>
      </c>
      <c r="G46" s="5">
        <f t="shared" si="6"/>
        <v>647.22186</v>
      </c>
      <c r="H46" s="5">
        <f t="shared" si="4"/>
        <v>-352.77814</v>
      </c>
      <c r="I46" s="6">
        <f t="shared" si="5"/>
        <v>64.72218600000001</v>
      </c>
      <c r="J46" s="2"/>
      <c r="L46" s="37"/>
    </row>
    <row r="47" spans="1:12" ht="73.5" customHeight="1">
      <c r="A47" s="17" t="s">
        <v>326</v>
      </c>
      <c r="B47" s="64" t="s">
        <v>433</v>
      </c>
      <c r="C47" s="82" t="s">
        <v>143</v>
      </c>
      <c r="D47" s="6">
        <v>0.4978</v>
      </c>
      <c r="E47" s="6">
        <v>0.3</v>
      </c>
      <c r="F47" s="5">
        <v>0.4978</v>
      </c>
      <c r="G47" s="5">
        <f t="shared" si="6"/>
        <v>0.4978</v>
      </c>
      <c r="H47" s="5">
        <f t="shared" si="4"/>
        <v>0</v>
      </c>
      <c r="I47" s="6">
        <f t="shared" si="5"/>
        <v>100</v>
      </c>
      <c r="J47" s="2"/>
      <c r="L47" s="37"/>
    </row>
    <row r="48" spans="1:12" ht="60" customHeight="1">
      <c r="A48" s="17" t="s">
        <v>326</v>
      </c>
      <c r="B48" s="64" t="s">
        <v>369</v>
      </c>
      <c r="C48" s="82" t="s">
        <v>144</v>
      </c>
      <c r="D48" s="6">
        <v>30</v>
      </c>
      <c r="E48" s="6">
        <v>56.5</v>
      </c>
      <c r="F48" s="5">
        <v>20.95108</v>
      </c>
      <c r="G48" s="5">
        <f t="shared" si="6"/>
        <v>20.95108</v>
      </c>
      <c r="H48" s="5">
        <f t="shared" si="4"/>
        <v>-9.048919999999999</v>
      </c>
      <c r="I48" s="6">
        <f t="shared" si="5"/>
        <v>69.83693333333333</v>
      </c>
      <c r="J48" s="2"/>
      <c r="L48" s="37"/>
    </row>
    <row r="49" spans="1:12" ht="48.75" customHeight="1">
      <c r="A49" s="17" t="s">
        <v>326</v>
      </c>
      <c r="B49" s="64" t="s">
        <v>439</v>
      </c>
      <c r="C49" s="82" t="s">
        <v>145</v>
      </c>
      <c r="D49" s="6">
        <v>165.3</v>
      </c>
      <c r="E49" s="6">
        <v>50.6</v>
      </c>
      <c r="F49" s="5">
        <v>136.93848</v>
      </c>
      <c r="G49" s="5">
        <f t="shared" si="6"/>
        <v>136.93848</v>
      </c>
      <c r="H49" s="5">
        <f t="shared" si="4"/>
        <v>-28.361520000000013</v>
      </c>
      <c r="I49" s="6">
        <f t="shared" si="5"/>
        <v>82.84239564428312</v>
      </c>
      <c r="J49" s="2"/>
      <c r="L49" s="37"/>
    </row>
    <row r="50" spans="1:12" ht="31.5">
      <c r="A50" s="17" t="s">
        <v>326</v>
      </c>
      <c r="B50" s="64" t="s">
        <v>459</v>
      </c>
      <c r="C50" s="82" t="s">
        <v>146</v>
      </c>
      <c r="D50" s="6">
        <v>145.054</v>
      </c>
      <c r="E50" s="6">
        <v>34.9</v>
      </c>
      <c r="F50" s="5">
        <v>145.05072</v>
      </c>
      <c r="G50" s="5">
        <f t="shared" si="6"/>
        <v>145.05072</v>
      </c>
      <c r="H50" s="5">
        <f t="shared" si="4"/>
        <v>-0.0032799999999895135</v>
      </c>
      <c r="I50" s="6">
        <f t="shared" si="5"/>
        <v>99.99773877314657</v>
      </c>
      <c r="J50" s="2"/>
      <c r="K50" s="2"/>
      <c r="L50" s="2"/>
    </row>
    <row r="51" spans="1:12" ht="18.75" customHeight="1">
      <c r="A51" s="17" t="s">
        <v>326</v>
      </c>
      <c r="B51" s="64" t="s">
        <v>14</v>
      </c>
      <c r="C51" s="83" t="s">
        <v>147</v>
      </c>
      <c r="D51" s="6">
        <v>220</v>
      </c>
      <c r="E51" s="6"/>
      <c r="F51" s="5">
        <v>141.23473</v>
      </c>
      <c r="G51" s="5"/>
      <c r="H51" s="5">
        <f t="shared" si="4"/>
        <v>-78.76526999999999</v>
      </c>
      <c r="I51" s="6">
        <f t="shared" si="5"/>
        <v>64.19760454545455</v>
      </c>
      <c r="J51" s="2"/>
      <c r="K51" s="2"/>
      <c r="L51" s="2"/>
    </row>
    <row r="52" spans="1:12" ht="31.5">
      <c r="A52" s="17"/>
      <c r="B52" s="79" t="s">
        <v>441</v>
      </c>
      <c r="C52" s="63" t="s">
        <v>103</v>
      </c>
      <c r="D52" s="6">
        <f>SUM(D53:D59)</f>
        <v>24676.60179</v>
      </c>
      <c r="E52" s="6">
        <f>SUM(E53:E59)</f>
        <v>1842.6999999999998</v>
      </c>
      <c r="F52" s="6">
        <f>SUM(F53:F59)</f>
        <v>19775.330999999995</v>
      </c>
      <c r="G52" s="6">
        <f>SUM(G53:G57)</f>
        <v>19314.175219999997</v>
      </c>
      <c r="H52" s="5">
        <f t="shared" si="4"/>
        <v>-4901.270790000006</v>
      </c>
      <c r="I52" s="6">
        <f t="shared" si="5"/>
        <v>80.13798321296328</v>
      </c>
      <c r="J52" s="2"/>
      <c r="L52" s="38"/>
    </row>
    <row r="53" spans="1:12" ht="19.5" customHeight="1">
      <c r="A53" s="17" t="s">
        <v>304</v>
      </c>
      <c r="B53" s="64" t="s">
        <v>351</v>
      </c>
      <c r="C53" s="55" t="s">
        <v>148</v>
      </c>
      <c r="D53" s="6">
        <v>289.136</v>
      </c>
      <c r="E53" s="6">
        <v>73.9</v>
      </c>
      <c r="F53" s="5">
        <v>254.08873</v>
      </c>
      <c r="G53" s="5">
        <f aca="true" t="shared" si="7" ref="G53:G58">F53-L52</f>
        <v>254.08873</v>
      </c>
      <c r="H53" s="5">
        <f t="shared" si="4"/>
        <v>-35.047270000000026</v>
      </c>
      <c r="I53" s="6">
        <f t="shared" si="5"/>
        <v>87.8786211333075</v>
      </c>
      <c r="J53" s="2"/>
      <c r="L53" s="37"/>
    </row>
    <row r="54" spans="1:12" ht="19.5" customHeight="1">
      <c r="A54" s="17" t="s">
        <v>304</v>
      </c>
      <c r="B54" s="64" t="s">
        <v>352</v>
      </c>
      <c r="C54" s="55" t="s">
        <v>149</v>
      </c>
      <c r="D54" s="6">
        <v>4274.923</v>
      </c>
      <c r="E54" s="6">
        <v>616.3</v>
      </c>
      <c r="F54" s="5">
        <v>3354.77577</v>
      </c>
      <c r="G54" s="5">
        <f t="shared" si="7"/>
        <v>3354.77577</v>
      </c>
      <c r="H54" s="5">
        <f t="shared" si="4"/>
        <v>-920.1472299999996</v>
      </c>
      <c r="I54" s="6">
        <f t="shared" si="5"/>
        <v>78.47570049799728</v>
      </c>
      <c r="J54" s="2"/>
      <c r="L54" s="37"/>
    </row>
    <row r="55" spans="1:12" ht="18.75" customHeight="1">
      <c r="A55" s="17" t="s">
        <v>304</v>
      </c>
      <c r="B55" s="64" t="s">
        <v>353</v>
      </c>
      <c r="C55" s="55" t="s">
        <v>150</v>
      </c>
      <c r="D55" s="6">
        <v>15406.55409</v>
      </c>
      <c r="E55" s="6">
        <v>640.5</v>
      </c>
      <c r="F55" s="5">
        <v>12279.12947</v>
      </c>
      <c r="G55" s="5">
        <f t="shared" si="7"/>
        <v>12279.12947</v>
      </c>
      <c r="H55" s="5">
        <f t="shared" si="4"/>
        <v>-3127.42462</v>
      </c>
      <c r="I55" s="6">
        <f t="shared" si="5"/>
        <v>79.7006871119225</v>
      </c>
      <c r="J55" s="2"/>
      <c r="L55" s="37"/>
    </row>
    <row r="56" spans="1:12" ht="31.5">
      <c r="A56" s="17" t="s">
        <v>304</v>
      </c>
      <c r="B56" s="64" t="s">
        <v>354</v>
      </c>
      <c r="C56" s="55" t="s">
        <v>151</v>
      </c>
      <c r="D56" s="6">
        <v>1797.358</v>
      </c>
      <c r="E56" s="6">
        <v>137.2</v>
      </c>
      <c r="F56" s="5">
        <v>1421.93783</v>
      </c>
      <c r="G56" s="5">
        <f t="shared" si="7"/>
        <v>1421.93783</v>
      </c>
      <c r="H56" s="5">
        <f t="shared" si="4"/>
        <v>-375.42016999999987</v>
      </c>
      <c r="I56" s="6">
        <f t="shared" si="5"/>
        <v>79.11266592409525</v>
      </c>
      <c r="J56" s="2"/>
      <c r="L56" s="37"/>
    </row>
    <row r="57" spans="1:12" ht="18.75" customHeight="1">
      <c r="A57" s="17" t="s">
        <v>304</v>
      </c>
      <c r="B57" s="64" t="s">
        <v>355</v>
      </c>
      <c r="C57" s="55" t="s">
        <v>152</v>
      </c>
      <c r="D57" s="6">
        <v>2356.144</v>
      </c>
      <c r="E57" s="6">
        <v>336.9</v>
      </c>
      <c r="F57" s="5">
        <v>2004.24342</v>
      </c>
      <c r="G57" s="5">
        <f t="shared" si="7"/>
        <v>2004.24342</v>
      </c>
      <c r="H57" s="5">
        <f t="shared" si="4"/>
        <v>-351.90057999999976</v>
      </c>
      <c r="I57" s="6">
        <f t="shared" si="5"/>
        <v>85.0645554770846</v>
      </c>
      <c r="J57" s="2"/>
      <c r="L57" s="37"/>
    </row>
    <row r="58" spans="1:12" ht="20.25" customHeight="1">
      <c r="A58" s="17" t="s">
        <v>304</v>
      </c>
      <c r="B58" s="64" t="s">
        <v>436</v>
      </c>
      <c r="C58" s="55" t="s">
        <v>153</v>
      </c>
      <c r="D58" s="6">
        <v>496.63</v>
      </c>
      <c r="E58" s="6">
        <v>37.9</v>
      </c>
      <c r="F58" s="5">
        <v>410.62908</v>
      </c>
      <c r="G58" s="5">
        <f t="shared" si="7"/>
        <v>410.62908</v>
      </c>
      <c r="H58" s="5">
        <f t="shared" si="4"/>
        <v>-86.00092000000001</v>
      </c>
      <c r="I58" s="6">
        <f t="shared" si="5"/>
        <v>82.68310009463787</v>
      </c>
      <c r="J58" s="2"/>
      <c r="L58" s="37"/>
    </row>
    <row r="59" spans="1:12" ht="17.25" customHeight="1">
      <c r="A59" s="17" t="s">
        <v>304</v>
      </c>
      <c r="B59" s="64" t="s">
        <v>13</v>
      </c>
      <c r="C59" s="55" t="s">
        <v>154</v>
      </c>
      <c r="D59" s="6">
        <v>55.8567</v>
      </c>
      <c r="E59" s="6"/>
      <c r="F59" s="5">
        <v>50.5267</v>
      </c>
      <c r="G59" s="5"/>
      <c r="H59" s="5">
        <f t="shared" si="4"/>
        <v>-5.329999999999998</v>
      </c>
      <c r="I59" s="6">
        <f t="shared" si="5"/>
        <v>90.45772485664209</v>
      </c>
      <c r="J59" s="2"/>
      <c r="L59" s="37"/>
    </row>
    <row r="60" spans="1:12" ht="18" customHeight="1">
      <c r="A60" s="17"/>
      <c r="B60" s="64" t="s">
        <v>461</v>
      </c>
      <c r="C60" s="63" t="s">
        <v>104</v>
      </c>
      <c r="D60" s="6">
        <f>D61+D62+D64+D83+D87+D90+D66+D88+D89+D65+D81+D63+D82+D84+D85+D86</f>
        <v>2784.61404</v>
      </c>
      <c r="E60" s="6">
        <f>E61+E62+E64+E83+E87+E90+E66+E88+E89+E65+E81+E63+E82+E84+E85+E86</f>
        <v>949.1999999999999</v>
      </c>
      <c r="F60" s="6">
        <f>F61+F62+F64+F83+F87+F90+F66+F88+F89+F65+F81+F63+F82+F84+F85+F86</f>
        <v>2202.64736</v>
      </c>
      <c r="G60" s="6">
        <f>G61+G62+G64+G83+G87+G90+G66+G88+G89+G65+G81</f>
        <v>2056.84697</v>
      </c>
      <c r="H60" s="5">
        <f t="shared" si="4"/>
        <v>-581.96668</v>
      </c>
      <c r="I60" s="6">
        <f t="shared" si="5"/>
        <v>79.10063399665972</v>
      </c>
      <c r="J60" s="2"/>
      <c r="L60" s="37"/>
    </row>
    <row r="61" spans="1:12" ht="30.75" customHeight="1">
      <c r="A61" s="17" t="s">
        <v>304</v>
      </c>
      <c r="B61" s="64" t="s">
        <v>305</v>
      </c>
      <c r="C61" s="55" t="s">
        <v>155</v>
      </c>
      <c r="D61" s="6">
        <v>969.94121</v>
      </c>
      <c r="E61" s="6">
        <v>256.9</v>
      </c>
      <c r="F61" s="5">
        <v>942.724</v>
      </c>
      <c r="G61" s="5">
        <f>F61-L60</f>
        <v>942.724</v>
      </c>
      <c r="H61" s="5">
        <f t="shared" si="4"/>
        <v>-27.21720999999991</v>
      </c>
      <c r="I61" s="6">
        <f t="shared" si="5"/>
        <v>97.1939319909915</v>
      </c>
      <c r="J61" s="2"/>
      <c r="L61" s="37"/>
    </row>
    <row r="62" spans="1:12" ht="48" customHeight="1">
      <c r="A62" s="17" t="s">
        <v>303</v>
      </c>
      <c r="B62" s="64" t="s">
        <v>336</v>
      </c>
      <c r="C62" s="55" t="s">
        <v>156</v>
      </c>
      <c r="D62" s="6">
        <v>520</v>
      </c>
      <c r="E62" s="6">
        <v>28.4</v>
      </c>
      <c r="F62" s="5">
        <v>360.01035</v>
      </c>
      <c r="G62" s="5">
        <f>F62-L61</f>
        <v>360.01035</v>
      </c>
      <c r="H62" s="5">
        <f t="shared" si="4"/>
        <v>-159.98964999999998</v>
      </c>
      <c r="I62" s="6">
        <f t="shared" si="5"/>
        <v>69.23275961538462</v>
      </c>
      <c r="J62" s="2"/>
      <c r="L62" s="2"/>
    </row>
    <row r="63" spans="1:12" ht="47.25">
      <c r="A63" s="17"/>
      <c r="B63" s="64" t="s">
        <v>41</v>
      </c>
      <c r="C63" s="55" t="s">
        <v>157</v>
      </c>
      <c r="D63" s="6">
        <v>0.082</v>
      </c>
      <c r="E63" s="6"/>
      <c r="F63" s="6">
        <v>0</v>
      </c>
      <c r="G63" s="5"/>
      <c r="H63" s="5">
        <f t="shared" si="4"/>
        <v>-0.082</v>
      </c>
      <c r="I63" s="6">
        <f t="shared" si="5"/>
        <v>0</v>
      </c>
      <c r="J63" s="2"/>
      <c r="L63" s="2"/>
    </row>
    <row r="64" spans="1:12" ht="34.5" customHeight="1">
      <c r="A64" s="17" t="s">
        <v>308</v>
      </c>
      <c r="B64" s="64" t="s">
        <v>309</v>
      </c>
      <c r="C64" s="74" t="s">
        <v>158</v>
      </c>
      <c r="D64" s="6">
        <v>906.95942</v>
      </c>
      <c r="E64" s="6">
        <v>605.1</v>
      </c>
      <c r="F64" s="6">
        <v>620.22075</v>
      </c>
      <c r="G64" s="5">
        <f>F64-L63</f>
        <v>620.22075</v>
      </c>
      <c r="H64" s="5">
        <f t="shared" si="4"/>
        <v>-286.73867000000007</v>
      </c>
      <c r="I64" s="6">
        <f t="shared" si="5"/>
        <v>68.38461967791237</v>
      </c>
      <c r="J64" s="2"/>
      <c r="L64" s="39"/>
    </row>
    <row r="65" spans="1:12" ht="31.5">
      <c r="A65" s="17" t="s">
        <v>308</v>
      </c>
      <c r="B65" s="64" t="s">
        <v>309</v>
      </c>
      <c r="C65" s="74" t="s">
        <v>159</v>
      </c>
      <c r="D65" s="6">
        <v>37.486</v>
      </c>
      <c r="E65" s="6"/>
      <c r="F65" s="6">
        <v>35.2854</v>
      </c>
      <c r="G65" s="5"/>
      <c r="H65" s="5">
        <f t="shared" si="4"/>
        <v>-2.2005999999999943</v>
      </c>
      <c r="I65" s="6">
        <f t="shared" si="5"/>
        <v>94.12954169556636</v>
      </c>
      <c r="J65" s="2"/>
      <c r="L65" s="39"/>
    </row>
    <row r="66" spans="1:12" ht="33" customHeight="1">
      <c r="A66" s="17" t="s">
        <v>308</v>
      </c>
      <c r="B66" s="64" t="s">
        <v>309</v>
      </c>
      <c r="C66" s="74" t="s">
        <v>160</v>
      </c>
      <c r="D66" s="6">
        <v>90</v>
      </c>
      <c r="E66" s="6">
        <v>13</v>
      </c>
      <c r="F66" s="5">
        <v>67.26535</v>
      </c>
      <c r="G66" s="5">
        <f>F66-L64</f>
        <v>67.26535</v>
      </c>
      <c r="H66" s="5">
        <f t="shared" si="4"/>
        <v>-22.734650000000002</v>
      </c>
      <c r="I66" s="6">
        <f t="shared" si="5"/>
        <v>74.73927777777777</v>
      </c>
      <c r="J66" s="2"/>
      <c r="L66" s="39"/>
    </row>
    <row r="67" spans="1:12" ht="30" customHeight="1" hidden="1">
      <c r="A67" s="17" t="s">
        <v>308</v>
      </c>
      <c r="B67" s="64" t="s">
        <v>309</v>
      </c>
      <c r="C67" s="74" t="s">
        <v>77</v>
      </c>
      <c r="D67" s="6"/>
      <c r="E67" s="6">
        <v>13</v>
      </c>
      <c r="F67" s="5"/>
      <c r="G67" s="5">
        <f aca="true" t="shared" si="8" ref="G67:G80">F67-L66</f>
        <v>0</v>
      </c>
      <c r="H67" s="5">
        <f t="shared" si="4"/>
        <v>0</v>
      </c>
      <c r="I67" s="6" t="e">
        <f t="shared" si="5"/>
        <v>#DIV/0!</v>
      </c>
      <c r="J67" s="2"/>
      <c r="L67" s="39"/>
    </row>
    <row r="68" spans="1:12" ht="30.75" customHeight="1" hidden="1">
      <c r="A68" s="17" t="s">
        <v>308</v>
      </c>
      <c r="B68" s="64" t="s">
        <v>309</v>
      </c>
      <c r="C68" s="74" t="s">
        <v>410</v>
      </c>
      <c r="D68" s="6"/>
      <c r="E68" s="6">
        <v>5</v>
      </c>
      <c r="F68" s="5"/>
      <c r="G68" s="5">
        <f t="shared" si="8"/>
        <v>0</v>
      </c>
      <c r="H68" s="5">
        <f aca="true" t="shared" si="9" ref="H68:H92">F68-D68</f>
        <v>0</v>
      </c>
      <c r="I68" s="6" t="e">
        <f aca="true" t="shared" si="10" ref="I68:I102">F68/D68*100</f>
        <v>#DIV/0!</v>
      </c>
      <c r="J68" s="2"/>
      <c r="L68" s="39"/>
    </row>
    <row r="69" spans="1:12" ht="31.5" customHeight="1" hidden="1">
      <c r="A69" s="17" t="s">
        <v>308</v>
      </c>
      <c r="B69" s="64" t="s">
        <v>309</v>
      </c>
      <c r="C69" s="74" t="s">
        <v>386</v>
      </c>
      <c r="D69" s="6"/>
      <c r="E69" s="6">
        <v>3</v>
      </c>
      <c r="F69" s="5"/>
      <c r="G69" s="5">
        <f t="shared" si="8"/>
        <v>0</v>
      </c>
      <c r="H69" s="5">
        <f t="shared" si="9"/>
        <v>0</v>
      </c>
      <c r="I69" s="6" t="e">
        <f t="shared" si="10"/>
        <v>#DIV/0!</v>
      </c>
      <c r="J69" s="2"/>
      <c r="L69" s="39"/>
    </row>
    <row r="70" spans="1:12" ht="33" customHeight="1" hidden="1">
      <c r="A70" s="17" t="s">
        <v>308</v>
      </c>
      <c r="B70" s="64" t="s">
        <v>309</v>
      </c>
      <c r="C70" s="74" t="s">
        <v>381</v>
      </c>
      <c r="D70" s="6"/>
      <c r="E70" s="6">
        <v>5</v>
      </c>
      <c r="F70" s="5"/>
      <c r="G70" s="5">
        <f t="shared" si="8"/>
        <v>0</v>
      </c>
      <c r="H70" s="5">
        <f t="shared" si="9"/>
        <v>0</v>
      </c>
      <c r="I70" s="6" t="e">
        <f t="shared" si="10"/>
        <v>#DIV/0!</v>
      </c>
      <c r="J70" s="2"/>
      <c r="L70" s="39"/>
    </row>
    <row r="71" spans="1:12" ht="29.25" customHeight="1" hidden="1">
      <c r="A71" s="17" t="s">
        <v>308</v>
      </c>
      <c r="B71" s="64" t="s">
        <v>309</v>
      </c>
      <c r="C71" s="74" t="s">
        <v>403</v>
      </c>
      <c r="D71" s="6"/>
      <c r="E71" s="6">
        <v>5</v>
      </c>
      <c r="F71" s="5"/>
      <c r="G71" s="5">
        <f t="shared" si="8"/>
        <v>0</v>
      </c>
      <c r="H71" s="5">
        <f t="shared" si="9"/>
        <v>0</v>
      </c>
      <c r="I71" s="6" t="e">
        <f t="shared" si="10"/>
        <v>#DIV/0!</v>
      </c>
      <c r="J71" s="2"/>
      <c r="L71" s="39"/>
    </row>
    <row r="72" spans="1:12" ht="31.5" customHeight="1" hidden="1">
      <c r="A72" s="17" t="s">
        <v>308</v>
      </c>
      <c r="B72" s="64" t="s">
        <v>309</v>
      </c>
      <c r="C72" s="74" t="s">
        <v>379</v>
      </c>
      <c r="D72" s="6"/>
      <c r="E72" s="6">
        <v>45</v>
      </c>
      <c r="F72" s="5"/>
      <c r="G72" s="5">
        <f t="shared" si="8"/>
        <v>0</v>
      </c>
      <c r="H72" s="5">
        <f t="shared" si="9"/>
        <v>0</v>
      </c>
      <c r="I72" s="6" t="e">
        <f t="shared" si="10"/>
        <v>#DIV/0!</v>
      </c>
      <c r="J72" s="2"/>
      <c r="L72" s="39"/>
    </row>
    <row r="73" spans="1:12" ht="30" customHeight="1" hidden="1">
      <c r="A73" s="17" t="s">
        <v>308</v>
      </c>
      <c r="B73" s="64" t="s">
        <v>309</v>
      </c>
      <c r="C73" s="74" t="s">
        <v>390</v>
      </c>
      <c r="D73" s="6"/>
      <c r="E73" s="6">
        <v>36</v>
      </c>
      <c r="F73" s="5"/>
      <c r="G73" s="5">
        <f t="shared" si="8"/>
        <v>0</v>
      </c>
      <c r="H73" s="5">
        <f t="shared" si="9"/>
        <v>0</v>
      </c>
      <c r="I73" s="6" t="e">
        <f t="shared" si="10"/>
        <v>#DIV/0!</v>
      </c>
      <c r="J73" s="2"/>
      <c r="L73" s="39"/>
    </row>
    <row r="74" spans="1:12" ht="33.75" customHeight="1" hidden="1">
      <c r="A74" s="17" t="s">
        <v>308</v>
      </c>
      <c r="B74" s="64" t="s">
        <v>309</v>
      </c>
      <c r="C74" s="74" t="s">
        <v>380</v>
      </c>
      <c r="D74" s="6"/>
      <c r="E74" s="6">
        <v>4.5</v>
      </c>
      <c r="F74" s="5"/>
      <c r="G74" s="5">
        <f t="shared" si="8"/>
        <v>0</v>
      </c>
      <c r="H74" s="5">
        <f t="shared" si="9"/>
        <v>0</v>
      </c>
      <c r="I74" s="6" t="e">
        <f t="shared" si="10"/>
        <v>#DIV/0!</v>
      </c>
      <c r="J74" s="2"/>
      <c r="L74" s="39"/>
    </row>
    <row r="75" spans="1:12" ht="33" customHeight="1" hidden="1">
      <c r="A75" s="17" t="s">
        <v>308</v>
      </c>
      <c r="B75" s="64" t="s">
        <v>309</v>
      </c>
      <c r="C75" s="63" t="s">
        <v>411</v>
      </c>
      <c r="D75" s="6"/>
      <c r="E75" s="6">
        <v>6</v>
      </c>
      <c r="F75" s="5"/>
      <c r="G75" s="5">
        <f t="shared" si="8"/>
        <v>0</v>
      </c>
      <c r="H75" s="5">
        <f t="shared" si="9"/>
        <v>0</v>
      </c>
      <c r="I75" s="6" t="e">
        <f t="shared" si="10"/>
        <v>#DIV/0!</v>
      </c>
      <c r="J75" s="2"/>
      <c r="L75" s="39"/>
    </row>
    <row r="76" spans="1:12" ht="33.75" customHeight="1" hidden="1">
      <c r="A76" s="17" t="s">
        <v>308</v>
      </c>
      <c r="B76" s="64" t="s">
        <v>309</v>
      </c>
      <c r="C76" s="74" t="s">
        <v>378</v>
      </c>
      <c r="D76" s="6"/>
      <c r="E76" s="6">
        <v>15</v>
      </c>
      <c r="F76" s="5"/>
      <c r="G76" s="5">
        <f t="shared" si="8"/>
        <v>0</v>
      </c>
      <c r="H76" s="5">
        <f t="shared" si="9"/>
        <v>0</v>
      </c>
      <c r="I76" s="6" t="e">
        <f t="shared" si="10"/>
        <v>#DIV/0!</v>
      </c>
      <c r="J76" s="2"/>
      <c r="L76" s="39"/>
    </row>
    <row r="77" spans="1:12" ht="36.75" customHeight="1" hidden="1">
      <c r="A77" s="17" t="s">
        <v>308</v>
      </c>
      <c r="B77" s="64" t="s">
        <v>309</v>
      </c>
      <c r="C77" s="74" t="s">
        <v>408</v>
      </c>
      <c r="D77" s="6"/>
      <c r="E77" s="6">
        <v>70</v>
      </c>
      <c r="F77" s="5"/>
      <c r="G77" s="5">
        <f t="shared" si="8"/>
        <v>0</v>
      </c>
      <c r="H77" s="5">
        <f t="shared" si="9"/>
        <v>0</v>
      </c>
      <c r="I77" s="6" t="e">
        <f t="shared" si="10"/>
        <v>#DIV/0!</v>
      </c>
      <c r="J77" s="2"/>
      <c r="L77" s="39"/>
    </row>
    <row r="78" spans="1:12" ht="39" customHeight="1" hidden="1">
      <c r="A78" s="17" t="s">
        <v>308</v>
      </c>
      <c r="B78" s="64" t="s">
        <v>309</v>
      </c>
      <c r="C78" s="74" t="s">
        <v>407</v>
      </c>
      <c r="D78" s="6"/>
      <c r="E78" s="6">
        <v>40</v>
      </c>
      <c r="F78" s="5"/>
      <c r="G78" s="5">
        <f t="shared" si="8"/>
        <v>0</v>
      </c>
      <c r="H78" s="5">
        <f t="shared" si="9"/>
        <v>0</v>
      </c>
      <c r="I78" s="6" t="e">
        <f t="shared" si="10"/>
        <v>#DIV/0!</v>
      </c>
      <c r="J78" s="2"/>
      <c r="L78" s="39"/>
    </row>
    <row r="79" spans="1:12" ht="42.75" customHeight="1" hidden="1">
      <c r="A79" s="17" t="s">
        <v>308</v>
      </c>
      <c r="B79" s="64" t="s">
        <v>309</v>
      </c>
      <c r="C79" s="74" t="s">
        <v>385</v>
      </c>
      <c r="D79" s="6"/>
      <c r="E79" s="6">
        <v>6</v>
      </c>
      <c r="F79" s="5"/>
      <c r="G79" s="5">
        <f t="shared" si="8"/>
        <v>0</v>
      </c>
      <c r="H79" s="5">
        <f t="shared" si="9"/>
        <v>0</v>
      </c>
      <c r="I79" s="6" t="e">
        <f t="shared" si="10"/>
        <v>#DIV/0!</v>
      </c>
      <c r="J79" s="2"/>
      <c r="L79" s="39"/>
    </row>
    <row r="80" spans="1:12" ht="44.25" customHeight="1" hidden="1">
      <c r="A80" s="17" t="s">
        <v>308</v>
      </c>
      <c r="B80" s="64" t="s">
        <v>309</v>
      </c>
      <c r="C80" s="63" t="s">
        <v>409</v>
      </c>
      <c r="D80" s="6"/>
      <c r="E80" s="6">
        <v>20</v>
      </c>
      <c r="F80" s="5"/>
      <c r="G80" s="5">
        <f t="shared" si="8"/>
        <v>0</v>
      </c>
      <c r="H80" s="5">
        <f t="shared" si="9"/>
        <v>0</v>
      </c>
      <c r="I80" s="6" t="e">
        <f t="shared" si="10"/>
        <v>#DIV/0!</v>
      </c>
      <c r="J80" s="2"/>
      <c r="L80" s="37"/>
    </row>
    <row r="81" spans="1:12" ht="47.25">
      <c r="A81" s="17"/>
      <c r="B81" s="64" t="s">
        <v>18</v>
      </c>
      <c r="C81" s="63" t="s">
        <v>61</v>
      </c>
      <c r="D81" s="6">
        <v>7.525</v>
      </c>
      <c r="E81" s="6"/>
      <c r="F81" s="5">
        <v>7.52458</v>
      </c>
      <c r="G81" s="5"/>
      <c r="H81" s="5">
        <f t="shared" si="9"/>
        <v>-0.00042000000000008697</v>
      </c>
      <c r="I81" s="6">
        <f t="shared" si="10"/>
        <v>99.99441860465116</v>
      </c>
      <c r="J81" s="2"/>
      <c r="L81" s="37"/>
    </row>
    <row r="82" spans="1:12" ht="46.5" customHeight="1">
      <c r="A82" s="17"/>
      <c r="B82" s="64" t="s">
        <v>18</v>
      </c>
      <c r="C82" s="63" t="s">
        <v>162</v>
      </c>
      <c r="D82" s="6">
        <v>34</v>
      </c>
      <c r="E82" s="6"/>
      <c r="F82" s="5">
        <v>20</v>
      </c>
      <c r="G82" s="5"/>
      <c r="H82" s="5">
        <f t="shared" si="9"/>
        <v>-14</v>
      </c>
      <c r="I82" s="6">
        <f t="shared" si="10"/>
        <v>58.82352941176471</v>
      </c>
      <c r="J82" s="2"/>
      <c r="L82" s="37"/>
    </row>
    <row r="83" spans="1:12" ht="31.5" hidden="1">
      <c r="A83" s="17" t="s">
        <v>306</v>
      </c>
      <c r="B83" s="64" t="s">
        <v>307</v>
      </c>
      <c r="C83" s="74" t="s">
        <v>468</v>
      </c>
      <c r="D83" s="6">
        <v>0</v>
      </c>
      <c r="E83" s="6">
        <v>2.4</v>
      </c>
      <c r="F83" s="5"/>
      <c r="G83" s="5">
        <f>F83-L80</f>
        <v>0</v>
      </c>
      <c r="H83" s="5">
        <f t="shared" si="9"/>
        <v>0</v>
      </c>
      <c r="I83" s="6" t="e">
        <f t="shared" si="10"/>
        <v>#DIV/0!</v>
      </c>
      <c r="J83" s="2"/>
      <c r="L83" s="37"/>
    </row>
    <row r="84" spans="1:12" ht="47.25" hidden="1">
      <c r="A84" s="17"/>
      <c r="B84" s="64" t="s">
        <v>18</v>
      </c>
      <c r="C84" s="74" t="s">
        <v>163</v>
      </c>
      <c r="D84" s="6">
        <v>0</v>
      </c>
      <c r="E84" s="6"/>
      <c r="F84" s="5"/>
      <c r="G84" s="5"/>
      <c r="H84" s="5">
        <f t="shared" si="9"/>
        <v>0</v>
      </c>
      <c r="I84" s="6" t="e">
        <f t="shared" si="10"/>
        <v>#DIV/0!</v>
      </c>
      <c r="J84" s="2"/>
      <c r="L84" s="37"/>
    </row>
    <row r="85" spans="1:12" ht="31.5">
      <c r="A85" s="17"/>
      <c r="B85" s="64" t="s">
        <v>85</v>
      </c>
      <c r="C85" s="74" t="s">
        <v>164</v>
      </c>
      <c r="D85" s="6">
        <v>59.95041</v>
      </c>
      <c r="E85" s="6"/>
      <c r="F85" s="5">
        <v>59.95041</v>
      </c>
      <c r="G85" s="5"/>
      <c r="H85" s="5">
        <f t="shared" si="9"/>
        <v>0</v>
      </c>
      <c r="I85" s="6">
        <f t="shared" si="10"/>
        <v>100</v>
      </c>
      <c r="J85" s="2"/>
      <c r="L85" s="37"/>
    </row>
    <row r="86" spans="1:12" ht="47.25">
      <c r="A86" s="17"/>
      <c r="B86" s="64" t="s">
        <v>85</v>
      </c>
      <c r="C86" s="74" t="s">
        <v>135</v>
      </c>
      <c r="D86" s="6">
        <v>40.3</v>
      </c>
      <c r="E86" s="6"/>
      <c r="F86" s="5">
        <v>0</v>
      </c>
      <c r="G86" s="5"/>
      <c r="H86" s="5">
        <f>F86-D86</f>
        <v>-40.3</v>
      </c>
      <c r="I86" s="6">
        <f>F86/D86*100</f>
        <v>0</v>
      </c>
      <c r="J86" s="2"/>
      <c r="L86" s="37"/>
    </row>
    <row r="87" spans="1:12" ht="31.5">
      <c r="A87" s="17" t="s">
        <v>308</v>
      </c>
      <c r="B87" s="64" t="s">
        <v>337</v>
      </c>
      <c r="C87" s="74" t="s">
        <v>26</v>
      </c>
      <c r="D87" s="6">
        <v>74.83</v>
      </c>
      <c r="E87" s="6">
        <v>38.3</v>
      </c>
      <c r="F87" s="5">
        <v>57.5282</v>
      </c>
      <c r="G87" s="5">
        <f>F87-L83</f>
        <v>57.5282</v>
      </c>
      <c r="H87" s="5">
        <f t="shared" si="9"/>
        <v>-17.3018</v>
      </c>
      <c r="I87" s="6">
        <f t="shared" si="10"/>
        <v>76.87852465588666</v>
      </c>
      <c r="J87" s="2"/>
      <c r="L87" s="37"/>
    </row>
    <row r="88" spans="1:12" ht="63" hidden="1">
      <c r="A88" s="17"/>
      <c r="B88" s="64" t="s">
        <v>337</v>
      </c>
      <c r="C88" s="74" t="s">
        <v>8</v>
      </c>
      <c r="D88" s="6">
        <v>0</v>
      </c>
      <c r="E88" s="6"/>
      <c r="F88" s="5"/>
      <c r="G88" s="5"/>
      <c r="H88" s="5">
        <f t="shared" si="9"/>
        <v>0</v>
      </c>
      <c r="I88" s="6" t="e">
        <f t="shared" si="10"/>
        <v>#DIV/0!</v>
      </c>
      <c r="J88" s="2"/>
      <c r="L88" s="37"/>
    </row>
    <row r="89" spans="1:12" ht="31.5">
      <c r="A89" s="17" t="s">
        <v>308</v>
      </c>
      <c r="B89" s="64" t="s">
        <v>337</v>
      </c>
      <c r="C89" s="74" t="s">
        <v>165</v>
      </c>
      <c r="D89" s="6">
        <v>24.24</v>
      </c>
      <c r="E89" s="6"/>
      <c r="F89" s="5">
        <v>23.04</v>
      </c>
      <c r="G89" s="5"/>
      <c r="H89" s="5">
        <f t="shared" si="9"/>
        <v>-1.1999999999999993</v>
      </c>
      <c r="I89" s="6">
        <f t="shared" si="10"/>
        <v>95.04950495049506</v>
      </c>
      <c r="J89" s="2"/>
      <c r="L89" s="37"/>
    </row>
    <row r="90" spans="1:12" ht="33.75" customHeight="1">
      <c r="A90" s="17" t="s">
        <v>308</v>
      </c>
      <c r="B90" s="72" t="s">
        <v>412</v>
      </c>
      <c r="C90" s="63" t="s">
        <v>166</v>
      </c>
      <c r="D90" s="6">
        <v>19.3</v>
      </c>
      <c r="E90" s="6">
        <v>5.1</v>
      </c>
      <c r="F90" s="5">
        <v>9.09832</v>
      </c>
      <c r="G90" s="5">
        <f>F90-L87</f>
        <v>9.09832</v>
      </c>
      <c r="H90" s="5">
        <f t="shared" si="9"/>
        <v>-10.201680000000001</v>
      </c>
      <c r="I90" s="6">
        <f t="shared" si="10"/>
        <v>47.14155440414507</v>
      </c>
      <c r="J90" s="2"/>
      <c r="L90" s="37"/>
    </row>
    <row r="91" spans="1:12" ht="67.5" customHeight="1" hidden="1">
      <c r="A91" s="19" t="s">
        <v>304</v>
      </c>
      <c r="B91" s="72" t="s">
        <v>19</v>
      </c>
      <c r="C91" s="55" t="s">
        <v>31</v>
      </c>
      <c r="D91" s="6">
        <v>0</v>
      </c>
      <c r="E91" s="6">
        <v>301.4</v>
      </c>
      <c r="F91" s="5">
        <v>0</v>
      </c>
      <c r="G91" s="5">
        <f>F91-L90</f>
        <v>0</v>
      </c>
      <c r="H91" s="5">
        <f t="shared" si="9"/>
        <v>0</v>
      </c>
      <c r="I91" s="6" t="e">
        <f t="shared" si="10"/>
        <v>#DIV/0!</v>
      </c>
      <c r="J91" s="2"/>
      <c r="L91" s="2"/>
    </row>
    <row r="92" spans="1:12" ht="68.25" customHeight="1" hidden="1">
      <c r="A92" s="19" t="s">
        <v>304</v>
      </c>
      <c r="B92" s="72" t="s">
        <v>19</v>
      </c>
      <c r="C92" s="55" t="s">
        <v>105</v>
      </c>
      <c r="D92" s="6"/>
      <c r="E92" s="6"/>
      <c r="F92" s="5"/>
      <c r="G92" s="5"/>
      <c r="H92" s="5">
        <f t="shared" si="9"/>
        <v>0</v>
      </c>
      <c r="I92" s="6" t="e">
        <f t="shared" si="10"/>
        <v>#DIV/0!</v>
      </c>
      <c r="J92" s="2"/>
      <c r="L92" s="2"/>
    </row>
    <row r="93" spans="1:12" ht="15.75">
      <c r="A93" s="17" t="s">
        <v>304</v>
      </c>
      <c r="B93" s="79" t="s">
        <v>442</v>
      </c>
      <c r="C93" s="74" t="s">
        <v>443</v>
      </c>
      <c r="D93" s="6">
        <f>SUM(D94:D103)</f>
        <v>670.0050000000001</v>
      </c>
      <c r="E93" s="6">
        <f>SUM(E94:E103)</f>
        <v>163.6</v>
      </c>
      <c r="F93" s="6">
        <f>SUM(F94:F103)</f>
        <v>492.1735800000001</v>
      </c>
      <c r="G93" s="6">
        <f>SUM(G94:G103)</f>
        <v>246.73538</v>
      </c>
      <c r="H93" s="6">
        <f>SUM(H94:H103)</f>
        <v>-177.83142</v>
      </c>
      <c r="I93" s="6">
        <f t="shared" si="10"/>
        <v>73.45819508809636</v>
      </c>
      <c r="J93" s="2"/>
      <c r="L93" s="37"/>
    </row>
    <row r="94" spans="1:12" ht="33" customHeight="1">
      <c r="A94" s="17" t="s">
        <v>304</v>
      </c>
      <c r="B94" s="48" t="s">
        <v>365</v>
      </c>
      <c r="C94" s="18" t="s">
        <v>32</v>
      </c>
      <c r="D94" s="1">
        <v>331.091</v>
      </c>
      <c r="E94" s="1">
        <v>124.6</v>
      </c>
      <c r="F94" s="4">
        <v>246.73538</v>
      </c>
      <c r="G94" s="5">
        <f>F94-L93</f>
        <v>246.73538</v>
      </c>
      <c r="H94" s="4">
        <f aca="true" t="shared" si="11" ref="H94:H102">F94-D94</f>
        <v>-84.35562000000002</v>
      </c>
      <c r="I94" s="1">
        <f t="shared" si="10"/>
        <v>74.5219229758586</v>
      </c>
      <c r="J94" s="2"/>
      <c r="L94" s="37"/>
    </row>
    <row r="95" spans="1:12" ht="47.25" hidden="1">
      <c r="A95" s="17" t="s">
        <v>304</v>
      </c>
      <c r="B95" s="48" t="s">
        <v>344</v>
      </c>
      <c r="C95" s="18" t="s">
        <v>12</v>
      </c>
      <c r="D95" s="1">
        <v>0</v>
      </c>
      <c r="E95" s="1">
        <v>22</v>
      </c>
      <c r="F95" s="4"/>
      <c r="G95" s="5">
        <f>F95-L94</f>
        <v>0</v>
      </c>
      <c r="H95" s="4">
        <f t="shared" si="11"/>
        <v>0</v>
      </c>
      <c r="I95" s="1" t="e">
        <f t="shared" si="10"/>
        <v>#DIV/0!</v>
      </c>
      <c r="J95" s="2"/>
      <c r="L95" s="37"/>
    </row>
    <row r="96" spans="1:12" ht="0.75" customHeight="1" hidden="1">
      <c r="A96" s="17" t="s">
        <v>304</v>
      </c>
      <c r="B96" s="48" t="s">
        <v>366</v>
      </c>
      <c r="C96" s="18" t="s">
        <v>12</v>
      </c>
      <c r="D96" s="1">
        <v>0</v>
      </c>
      <c r="E96" s="1">
        <v>17</v>
      </c>
      <c r="F96" s="4"/>
      <c r="G96" s="5">
        <f>F96-L95</f>
        <v>0</v>
      </c>
      <c r="H96" s="4">
        <f t="shared" si="11"/>
        <v>0</v>
      </c>
      <c r="I96" s="1" t="e">
        <f t="shared" si="10"/>
        <v>#DIV/0!</v>
      </c>
      <c r="J96" s="2"/>
      <c r="L96" s="2"/>
    </row>
    <row r="97" spans="1:12" ht="65.25" customHeight="1">
      <c r="A97" s="17"/>
      <c r="B97" s="48" t="s">
        <v>365</v>
      </c>
      <c r="C97" s="18" t="s">
        <v>167</v>
      </c>
      <c r="D97" s="1">
        <v>287.3</v>
      </c>
      <c r="E97" s="1"/>
      <c r="F97" s="4">
        <v>213.24499</v>
      </c>
      <c r="G97" s="5"/>
      <c r="H97" s="4">
        <f t="shared" si="11"/>
        <v>-74.05501000000001</v>
      </c>
      <c r="I97" s="1">
        <f t="shared" si="10"/>
        <v>74.22380438565959</v>
      </c>
      <c r="J97" s="2"/>
      <c r="L97" s="2"/>
    </row>
    <row r="98" spans="1:12" ht="44.25" customHeight="1">
      <c r="A98" s="17"/>
      <c r="B98" s="48" t="s">
        <v>366</v>
      </c>
      <c r="C98" s="18" t="s">
        <v>168</v>
      </c>
      <c r="D98" s="1">
        <v>5.48</v>
      </c>
      <c r="E98" s="1"/>
      <c r="F98" s="5">
        <v>2.458</v>
      </c>
      <c r="G98" s="5"/>
      <c r="H98" s="4">
        <f t="shared" si="11"/>
        <v>-3.0220000000000002</v>
      </c>
      <c r="I98" s="1">
        <f t="shared" si="10"/>
        <v>44.85401459854015</v>
      </c>
      <c r="J98" s="2"/>
      <c r="L98" s="2"/>
    </row>
    <row r="99" spans="1:12" ht="49.5" customHeight="1">
      <c r="A99" s="17"/>
      <c r="B99" s="48" t="s">
        <v>366</v>
      </c>
      <c r="C99" s="18" t="s">
        <v>168</v>
      </c>
      <c r="D99" s="1">
        <v>6.7</v>
      </c>
      <c r="E99" s="1"/>
      <c r="F99" s="5">
        <v>1.60636</v>
      </c>
      <c r="G99" s="5"/>
      <c r="H99" s="4">
        <f t="shared" si="11"/>
        <v>-5.093640000000001</v>
      </c>
      <c r="I99" s="1">
        <f t="shared" si="10"/>
        <v>23.9755223880597</v>
      </c>
      <c r="J99" s="2"/>
      <c r="L99" s="2"/>
    </row>
    <row r="100" spans="1:12" ht="48.75" customHeight="1">
      <c r="A100" s="17" t="s">
        <v>304</v>
      </c>
      <c r="B100" s="48" t="s">
        <v>366</v>
      </c>
      <c r="C100" s="7" t="s">
        <v>169</v>
      </c>
      <c r="D100" s="1">
        <v>35</v>
      </c>
      <c r="E100" s="1"/>
      <c r="F100" s="5">
        <v>27.29585</v>
      </c>
      <c r="G100" s="5"/>
      <c r="H100" s="4">
        <f t="shared" si="11"/>
        <v>-7.7041499999999985</v>
      </c>
      <c r="I100" s="1">
        <f t="shared" si="10"/>
        <v>77.98814285714286</v>
      </c>
      <c r="J100" s="2"/>
      <c r="L100" s="2"/>
    </row>
    <row r="101" spans="1:12" ht="64.5" customHeight="1" hidden="1">
      <c r="A101" s="17"/>
      <c r="B101" s="48" t="s">
        <v>78</v>
      </c>
      <c r="C101" s="7" t="s">
        <v>170</v>
      </c>
      <c r="D101" s="1"/>
      <c r="E101" s="1"/>
      <c r="F101" s="4"/>
      <c r="G101" s="5"/>
      <c r="H101" s="4">
        <f t="shared" si="11"/>
        <v>0</v>
      </c>
      <c r="I101" s="1" t="e">
        <f t="shared" si="10"/>
        <v>#DIV/0!</v>
      </c>
      <c r="J101" s="2"/>
      <c r="L101" s="2"/>
    </row>
    <row r="102" spans="1:12" ht="50.25" customHeight="1">
      <c r="A102" s="17"/>
      <c r="B102" s="48" t="s">
        <v>78</v>
      </c>
      <c r="C102" s="7" t="s">
        <v>182</v>
      </c>
      <c r="D102" s="1">
        <f>4+0.434</f>
        <v>4.434</v>
      </c>
      <c r="E102" s="1"/>
      <c r="F102" s="4">
        <f>0.399+0.434</f>
        <v>0.833</v>
      </c>
      <c r="G102" s="5"/>
      <c r="H102" s="4">
        <f t="shared" si="11"/>
        <v>-3.601</v>
      </c>
      <c r="I102" s="1">
        <f t="shared" si="10"/>
        <v>18.786648624267027</v>
      </c>
      <c r="J102" s="2"/>
      <c r="L102" s="2"/>
    </row>
    <row r="103" spans="1:12" ht="50.25" customHeight="1" hidden="1">
      <c r="A103" s="17"/>
      <c r="B103" s="48" t="s">
        <v>25</v>
      </c>
      <c r="C103" s="18" t="s">
        <v>33</v>
      </c>
      <c r="D103" s="1"/>
      <c r="E103" s="1"/>
      <c r="F103" s="4"/>
      <c r="G103" s="5"/>
      <c r="H103" s="4"/>
      <c r="I103" s="1"/>
      <c r="J103" s="2"/>
      <c r="L103" s="2"/>
    </row>
    <row r="104" spans="1:12" ht="15.75">
      <c r="A104" s="17"/>
      <c r="B104" s="64" t="s">
        <v>310</v>
      </c>
      <c r="C104" s="74" t="s">
        <v>106</v>
      </c>
      <c r="D104" s="6">
        <f>SUM(D105:D109)</f>
        <v>1880.48682</v>
      </c>
      <c r="E104" s="6">
        <f>SUM(E105:E109)</f>
        <v>661.9</v>
      </c>
      <c r="F104" s="6">
        <f>SUM(F105:F109)</f>
        <v>1449.6004000000003</v>
      </c>
      <c r="G104" s="6">
        <f>SUM(G105:G109)</f>
        <v>1379.5975400000002</v>
      </c>
      <c r="H104" s="5">
        <f aca="true" t="shared" si="12" ref="H104:H135">F104-D104</f>
        <v>-430.8864199999998</v>
      </c>
      <c r="I104" s="6">
        <f aca="true" t="shared" si="13" ref="I104:I135">F104/D104*100</f>
        <v>77.08644296693343</v>
      </c>
      <c r="J104" s="2"/>
      <c r="L104" s="2"/>
    </row>
    <row r="105" spans="1:12" ht="65.25" customHeight="1">
      <c r="A105" s="17" t="s">
        <v>311</v>
      </c>
      <c r="B105" s="48" t="s">
        <v>312</v>
      </c>
      <c r="C105" s="18" t="s">
        <v>66</v>
      </c>
      <c r="D105" s="1">
        <v>1616.11682</v>
      </c>
      <c r="E105" s="1">
        <v>392.3</v>
      </c>
      <c r="F105" s="1">
        <v>1273.23844</v>
      </c>
      <c r="G105" s="5">
        <f>F105-L104</f>
        <v>1273.23844</v>
      </c>
      <c r="H105" s="4">
        <f t="shared" si="12"/>
        <v>-342.8783799999999</v>
      </c>
      <c r="I105" s="1">
        <f t="shared" si="13"/>
        <v>78.78381217516196</v>
      </c>
      <c r="J105" s="2"/>
      <c r="L105" s="37"/>
    </row>
    <row r="106" spans="1:12" ht="79.5" customHeight="1">
      <c r="A106" s="17" t="s">
        <v>311</v>
      </c>
      <c r="B106" s="48" t="s">
        <v>20</v>
      </c>
      <c r="C106" s="7" t="s">
        <v>272</v>
      </c>
      <c r="D106" s="1">
        <v>130</v>
      </c>
      <c r="E106" s="1"/>
      <c r="F106" s="1">
        <v>70.00286</v>
      </c>
      <c r="G106" s="5"/>
      <c r="H106" s="4">
        <f t="shared" si="12"/>
        <v>-59.99714</v>
      </c>
      <c r="I106" s="1">
        <f t="shared" si="13"/>
        <v>53.84835384615384</v>
      </c>
      <c r="J106" s="2"/>
      <c r="L106" s="37"/>
    </row>
    <row r="107" spans="1:12" ht="48" customHeight="1">
      <c r="A107" s="17" t="s">
        <v>303</v>
      </c>
      <c r="B107" s="48" t="s">
        <v>313</v>
      </c>
      <c r="C107" s="7" t="s">
        <v>173</v>
      </c>
      <c r="D107" s="1">
        <v>32.14</v>
      </c>
      <c r="E107" s="1">
        <v>3.4</v>
      </c>
      <c r="F107" s="4">
        <v>20.91174</v>
      </c>
      <c r="G107" s="5">
        <f>F107-L105</f>
        <v>20.91174</v>
      </c>
      <c r="H107" s="4">
        <f t="shared" si="12"/>
        <v>-11.228259999999999</v>
      </c>
      <c r="I107" s="1">
        <f t="shared" si="13"/>
        <v>65.0645301804605</v>
      </c>
      <c r="J107" s="2"/>
      <c r="L107" s="2"/>
    </row>
    <row r="108" spans="1:12" ht="79.5" customHeight="1">
      <c r="A108" s="17" t="s">
        <v>301</v>
      </c>
      <c r="B108" s="48" t="s">
        <v>314</v>
      </c>
      <c r="C108" s="3" t="s">
        <v>174</v>
      </c>
      <c r="D108" s="1">
        <f>100.23+2</f>
        <v>102.23</v>
      </c>
      <c r="E108" s="1">
        <v>32.8</v>
      </c>
      <c r="F108" s="1">
        <v>85.44736</v>
      </c>
      <c r="G108" s="5">
        <f>F108-L107</f>
        <v>85.44736</v>
      </c>
      <c r="H108" s="4">
        <f t="shared" si="12"/>
        <v>-16.78264</v>
      </c>
      <c r="I108" s="1">
        <f t="shared" si="13"/>
        <v>83.58344908539567</v>
      </c>
      <c r="J108" s="2"/>
      <c r="L108" s="39"/>
    </row>
    <row r="109" spans="1:12" ht="31.5" hidden="1">
      <c r="A109" s="17" t="s">
        <v>308</v>
      </c>
      <c r="B109" s="48" t="s">
        <v>315</v>
      </c>
      <c r="C109" s="3" t="s">
        <v>469</v>
      </c>
      <c r="D109" s="1">
        <v>0</v>
      </c>
      <c r="E109" s="1">
        <v>233.4</v>
      </c>
      <c r="F109" s="5">
        <v>0</v>
      </c>
      <c r="G109" s="5">
        <f>F109-L108</f>
        <v>0</v>
      </c>
      <c r="H109" s="4">
        <f t="shared" si="12"/>
        <v>0</v>
      </c>
      <c r="I109" s="1" t="e">
        <f t="shared" si="13"/>
        <v>#DIV/0!</v>
      </c>
      <c r="J109" s="2"/>
      <c r="L109" s="39"/>
    </row>
    <row r="110" spans="1:12" ht="15.75">
      <c r="A110" s="17"/>
      <c r="B110" s="64" t="s">
        <v>316</v>
      </c>
      <c r="C110" s="74" t="s">
        <v>443</v>
      </c>
      <c r="D110" s="6">
        <f>D111+D112+D113</f>
        <v>2952.0570000000002</v>
      </c>
      <c r="E110" s="6">
        <f>E111+E112+E113</f>
        <v>409.4</v>
      </c>
      <c r="F110" s="6">
        <f>F111+F112+F113</f>
        <v>2373.30259</v>
      </c>
      <c r="G110" s="85">
        <f>G111+G112+G113</f>
        <v>2367.9317</v>
      </c>
      <c r="H110" s="5">
        <f t="shared" si="12"/>
        <v>-578.7544100000005</v>
      </c>
      <c r="I110" s="6">
        <f t="shared" si="13"/>
        <v>80.39487686044001</v>
      </c>
      <c r="J110" s="2"/>
      <c r="L110" s="37"/>
    </row>
    <row r="111" spans="1:12" ht="31.5">
      <c r="A111" s="17" t="s">
        <v>306</v>
      </c>
      <c r="B111" s="64" t="s">
        <v>316</v>
      </c>
      <c r="C111" s="74" t="s">
        <v>175</v>
      </c>
      <c r="D111" s="6">
        <v>2944.657</v>
      </c>
      <c r="E111" s="6">
        <v>409.4</v>
      </c>
      <c r="F111" s="5">
        <v>2367.9317</v>
      </c>
      <c r="G111" s="5">
        <f>F111-L110</f>
        <v>2367.9317</v>
      </c>
      <c r="H111" s="5">
        <f t="shared" si="12"/>
        <v>-576.7253000000001</v>
      </c>
      <c r="I111" s="6">
        <f t="shared" si="13"/>
        <v>80.41451686902754</v>
      </c>
      <c r="J111" s="2"/>
      <c r="L111" s="37"/>
    </row>
    <row r="112" spans="1:12" ht="47.25">
      <c r="A112" s="17"/>
      <c r="B112" s="64" t="s">
        <v>462</v>
      </c>
      <c r="C112" s="74" t="s">
        <v>176</v>
      </c>
      <c r="D112" s="6">
        <v>6.32</v>
      </c>
      <c r="E112" s="6"/>
      <c r="F112" s="5">
        <v>5.28689</v>
      </c>
      <c r="G112" s="5"/>
      <c r="H112" s="5">
        <f t="shared" si="12"/>
        <v>-1.0331100000000006</v>
      </c>
      <c r="I112" s="6">
        <f t="shared" si="13"/>
        <v>83.65332278481011</v>
      </c>
      <c r="J112" s="2"/>
      <c r="L112" s="37"/>
    </row>
    <row r="113" spans="1:12" ht="33" customHeight="1">
      <c r="A113" s="17"/>
      <c r="B113" s="64" t="s">
        <v>463</v>
      </c>
      <c r="C113" s="74" t="s">
        <v>177</v>
      </c>
      <c r="D113" s="6">
        <v>1.08</v>
      </c>
      <c r="E113" s="6"/>
      <c r="F113" s="5">
        <v>0.084</v>
      </c>
      <c r="G113" s="5"/>
      <c r="H113" s="5">
        <f t="shared" si="12"/>
        <v>-0.9960000000000001</v>
      </c>
      <c r="I113" s="6">
        <f t="shared" si="13"/>
        <v>7.777777777777778</v>
      </c>
      <c r="J113" s="2" t="s">
        <v>373</v>
      </c>
      <c r="L113" s="2"/>
    </row>
    <row r="114" spans="1:12" ht="16.5" customHeight="1">
      <c r="A114" s="19" t="s">
        <v>413</v>
      </c>
      <c r="B114" s="72" t="s">
        <v>317</v>
      </c>
      <c r="C114" s="55" t="s">
        <v>107</v>
      </c>
      <c r="D114" s="6">
        <f>SUM(D115:D121)</f>
        <v>6974.24</v>
      </c>
      <c r="E114" s="6">
        <f>SUM(E115:E120)</f>
        <v>3220.6</v>
      </c>
      <c r="F114" s="6">
        <f>SUM(F115:F121)</f>
        <v>5164.41179</v>
      </c>
      <c r="G114" s="6">
        <f>SUM(G115:G120)</f>
        <v>5143.32902</v>
      </c>
      <c r="H114" s="5">
        <f t="shared" si="12"/>
        <v>-1809.8282099999997</v>
      </c>
      <c r="I114" s="6">
        <f t="shared" si="13"/>
        <v>74.049814603455</v>
      </c>
      <c r="J114" s="2" t="s">
        <v>374</v>
      </c>
      <c r="L114" s="37"/>
    </row>
    <row r="115" spans="1:12" ht="47.25">
      <c r="A115" s="17" t="s">
        <v>318</v>
      </c>
      <c r="B115" s="64" t="s">
        <v>17</v>
      </c>
      <c r="C115" s="55" t="s">
        <v>178</v>
      </c>
      <c r="D115" s="6">
        <v>266.14</v>
      </c>
      <c r="E115" s="6">
        <v>768.1</v>
      </c>
      <c r="F115" s="5">
        <v>137.08722</v>
      </c>
      <c r="G115" s="5">
        <f>F115-L114</f>
        <v>137.08722</v>
      </c>
      <c r="H115" s="5">
        <f t="shared" si="12"/>
        <v>-129.05277999999998</v>
      </c>
      <c r="I115" s="6">
        <f t="shared" si="13"/>
        <v>51.509438641316606</v>
      </c>
      <c r="J115" s="2"/>
      <c r="L115" s="37"/>
    </row>
    <row r="116" spans="1:12" ht="48" customHeight="1">
      <c r="A116" s="17" t="s">
        <v>318</v>
      </c>
      <c r="B116" s="64" t="s">
        <v>370</v>
      </c>
      <c r="C116" s="86" t="s">
        <v>219</v>
      </c>
      <c r="D116" s="6">
        <f>1054-400-54</f>
        <v>600</v>
      </c>
      <c r="E116" s="6">
        <v>852.5</v>
      </c>
      <c r="F116" s="5">
        <v>350</v>
      </c>
      <c r="G116" s="5">
        <f>F116-L115</f>
        <v>350</v>
      </c>
      <c r="H116" s="5">
        <f t="shared" si="12"/>
        <v>-250</v>
      </c>
      <c r="I116" s="6">
        <f t="shared" si="13"/>
        <v>58.333333333333336</v>
      </c>
      <c r="J116" s="2"/>
      <c r="L116" s="37"/>
    </row>
    <row r="117" spans="1:12" ht="34.5" customHeight="1">
      <c r="A117" s="17" t="s">
        <v>318</v>
      </c>
      <c r="B117" s="64" t="s">
        <v>40</v>
      </c>
      <c r="C117" s="86" t="s">
        <v>220</v>
      </c>
      <c r="D117" s="6">
        <v>156</v>
      </c>
      <c r="E117" s="6"/>
      <c r="F117" s="5">
        <v>0</v>
      </c>
      <c r="G117" s="5"/>
      <c r="H117" s="5">
        <f t="shared" si="12"/>
        <v>-156</v>
      </c>
      <c r="I117" s="6">
        <f t="shared" si="13"/>
        <v>0</v>
      </c>
      <c r="J117" s="2"/>
      <c r="L117" s="37"/>
    </row>
    <row r="118" spans="1:12" ht="47.25" customHeight="1">
      <c r="A118" s="17" t="s">
        <v>320</v>
      </c>
      <c r="B118" s="64" t="s">
        <v>15</v>
      </c>
      <c r="C118" s="86" t="s">
        <v>221</v>
      </c>
      <c r="D118" s="6">
        <v>98</v>
      </c>
      <c r="E118" s="6">
        <v>0</v>
      </c>
      <c r="F118" s="5">
        <v>98</v>
      </c>
      <c r="G118" s="5">
        <f>F118-L116</f>
        <v>98</v>
      </c>
      <c r="H118" s="5">
        <f t="shared" si="12"/>
        <v>0</v>
      </c>
      <c r="I118" s="6">
        <f t="shared" si="13"/>
        <v>100</v>
      </c>
      <c r="J118" s="2"/>
      <c r="L118" s="37"/>
    </row>
    <row r="119" spans="1:12" ht="18" customHeight="1" hidden="1">
      <c r="A119" s="17"/>
      <c r="B119" s="64" t="s">
        <v>321</v>
      </c>
      <c r="C119" s="63" t="s">
        <v>222</v>
      </c>
      <c r="D119" s="6">
        <v>0</v>
      </c>
      <c r="E119" s="6"/>
      <c r="F119" s="5"/>
      <c r="G119" s="5"/>
      <c r="H119" s="5">
        <f t="shared" si="12"/>
        <v>0</v>
      </c>
      <c r="I119" s="6" t="e">
        <f t="shared" si="13"/>
        <v>#DIV/0!</v>
      </c>
      <c r="J119" s="2"/>
      <c r="L119" s="37"/>
    </row>
    <row r="120" spans="1:12" ht="15.75">
      <c r="A120" s="17" t="s">
        <v>320</v>
      </c>
      <c r="B120" s="64" t="s">
        <v>321</v>
      </c>
      <c r="C120" s="63" t="s">
        <v>384</v>
      </c>
      <c r="D120" s="6">
        <v>5829.1</v>
      </c>
      <c r="E120" s="6">
        <v>1600</v>
      </c>
      <c r="F120" s="5">
        <v>4558.2418</v>
      </c>
      <c r="G120" s="5">
        <f>F120-L118</f>
        <v>4558.2418</v>
      </c>
      <c r="H120" s="5">
        <f t="shared" si="12"/>
        <v>-1270.8582000000006</v>
      </c>
      <c r="I120" s="6">
        <f t="shared" si="13"/>
        <v>78.19803743287986</v>
      </c>
      <c r="J120" s="2"/>
      <c r="L120" s="2"/>
    </row>
    <row r="121" spans="1:12" ht="31.5">
      <c r="A121" s="17"/>
      <c r="B121" s="64" t="s">
        <v>321</v>
      </c>
      <c r="C121" s="63" t="s">
        <v>453</v>
      </c>
      <c r="D121" s="6">
        <v>25</v>
      </c>
      <c r="E121" s="6"/>
      <c r="F121" s="5">
        <v>21.08277</v>
      </c>
      <c r="G121" s="5"/>
      <c r="H121" s="5">
        <f t="shared" si="12"/>
        <v>-3.91723</v>
      </c>
      <c r="I121" s="6">
        <f t="shared" si="13"/>
        <v>84.33108</v>
      </c>
      <c r="J121" s="2"/>
      <c r="L121" s="2"/>
    </row>
    <row r="122" spans="1:12" ht="15.75">
      <c r="A122" s="19" t="s">
        <v>322</v>
      </c>
      <c r="B122" s="72" t="s">
        <v>335</v>
      </c>
      <c r="C122" s="55" t="s">
        <v>109</v>
      </c>
      <c r="D122" s="6">
        <f>SUM(D123:D128)</f>
        <v>3556.8376400000006</v>
      </c>
      <c r="E122" s="6">
        <f>SUM(E123:E128)</f>
        <v>970.5999999999999</v>
      </c>
      <c r="F122" s="6">
        <f>SUM(F123:F128)</f>
        <v>2693.13947</v>
      </c>
      <c r="G122" s="6" t="e">
        <f>SUM(G123:G128)</f>
        <v>#REF!</v>
      </c>
      <c r="H122" s="5">
        <f t="shared" si="12"/>
        <v>-863.6981700000006</v>
      </c>
      <c r="I122" s="6">
        <f t="shared" si="13"/>
        <v>75.71724499631644</v>
      </c>
      <c r="J122" s="2"/>
      <c r="L122" s="37"/>
    </row>
    <row r="123" spans="1:12" ht="15.75">
      <c r="A123" s="17" t="s">
        <v>322</v>
      </c>
      <c r="B123" s="64" t="s">
        <v>444</v>
      </c>
      <c r="C123" s="74" t="s">
        <v>447</v>
      </c>
      <c r="D123" s="6">
        <v>435.63914</v>
      </c>
      <c r="E123" s="6">
        <v>123.4</v>
      </c>
      <c r="F123" s="5">
        <v>330.57787</v>
      </c>
      <c r="G123" s="5">
        <f>F123-L122</f>
        <v>330.57787</v>
      </c>
      <c r="H123" s="5">
        <f t="shared" si="12"/>
        <v>-105.06126999999998</v>
      </c>
      <c r="I123" s="6">
        <f t="shared" si="13"/>
        <v>75.88341809691389</v>
      </c>
      <c r="J123" s="2"/>
      <c r="L123" s="37"/>
    </row>
    <row r="124" spans="1:12" ht="15.75">
      <c r="A124" s="17" t="s">
        <v>322</v>
      </c>
      <c r="B124" s="64" t="s">
        <v>445</v>
      </c>
      <c r="C124" s="74" t="s">
        <v>449</v>
      </c>
      <c r="D124" s="6">
        <v>279.96924</v>
      </c>
      <c r="E124" s="6">
        <v>86.6</v>
      </c>
      <c r="F124" s="5">
        <v>225.86011</v>
      </c>
      <c r="G124" s="5">
        <f>F124-L123</f>
        <v>225.86011</v>
      </c>
      <c r="H124" s="5">
        <f t="shared" si="12"/>
        <v>-54.10913000000002</v>
      </c>
      <c r="I124" s="6">
        <f t="shared" si="13"/>
        <v>80.67318752588677</v>
      </c>
      <c r="J124" s="2"/>
      <c r="L124" s="37"/>
    </row>
    <row r="125" spans="1:12" ht="18" customHeight="1">
      <c r="A125" s="17" t="s">
        <v>322</v>
      </c>
      <c r="B125" s="64" t="s">
        <v>446</v>
      </c>
      <c r="C125" s="74" t="s">
        <v>448</v>
      </c>
      <c r="D125" s="6">
        <v>2273.85368</v>
      </c>
      <c r="E125" s="6">
        <v>581.9</v>
      </c>
      <c r="F125" s="5">
        <v>1734.87832</v>
      </c>
      <c r="G125" s="5" t="e">
        <f>F125-#REF!</f>
        <v>#REF!</v>
      </c>
      <c r="H125" s="5">
        <f t="shared" si="12"/>
        <v>-538.9753600000001</v>
      </c>
      <c r="I125" s="6">
        <f t="shared" si="13"/>
        <v>76.2968319052086</v>
      </c>
      <c r="J125" s="2"/>
      <c r="L125" s="37"/>
    </row>
    <row r="126" spans="1:12" ht="63" hidden="1">
      <c r="A126" s="17" t="s">
        <v>361</v>
      </c>
      <c r="B126" s="64" t="s">
        <v>432</v>
      </c>
      <c r="C126" s="74" t="s">
        <v>431</v>
      </c>
      <c r="D126" s="6">
        <v>0</v>
      </c>
      <c r="E126" s="6">
        <v>18.4</v>
      </c>
      <c r="F126" s="5"/>
      <c r="G126" s="5">
        <f>F126-L125</f>
        <v>0</v>
      </c>
      <c r="H126" s="5">
        <f t="shared" si="12"/>
        <v>0</v>
      </c>
      <c r="I126" s="6" t="e">
        <f t="shared" si="13"/>
        <v>#DIV/0!</v>
      </c>
      <c r="J126" s="2"/>
      <c r="L126" s="37"/>
    </row>
    <row r="127" spans="1:12" ht="15.75">
      <c r="A127" s="17" t="s">
        <v>322</v>
      </c>
      <c r="B127" s="64" t="s">
        <v>424</v>
      </c>
      <c r="C127" s="74" t="s">
        <v>397</v>
      </c>
      <c r="D127" s="6">
        <v>234.49958</v>
      </c>
      <c r="E127" s="6">
        <v>60.3</v>
      </c>
      <c r="F127" s="5">
        <v>205.13283</v>
      </c>
      <c r="G127" s="5">
        <f>F127-L126</f>
        <v>205.13283</v>
      </c>
      <c r="H127" s="5">
        <f t="shared" si="12"/>
        <v>-29.366749999999996</v>
      </c>
      <c r="I127" s="6">
        <f t="shared" si="13"/>
        <v>87.47684324210731</v>
      </c>
      <c r="J127" s="2"/>
      <c r="L127" s="37"/>
    </row>
    <row r="128" spans="1:12" ht="50.25" customHeight="1">
      <c r="A128" s="17" t="s">
        <v>425</v>
      </c>
      <c r="B128" s="64" t="s">
        <v>424</v>
      </c>
      <c r="C128" s="74" t="s">
        <v>35</v>
      </c>
      <c r="D128" s="6">
        <v>332.876</v>
      </c>
      <c r="E128" s="6">
        <v>100</v>
      </c>
      <c r="F128" s="5">
        <v>196.69034</v>
      </c>
      <c r="G128" s="5">
        <f>F128-L127</f>
        <v>196.69034</v>
      </c>
      <c r="H128" s="5">
        <f t="shared" si="12"/>
        <v>-136.18565999999998</v>
      </c>
      <c r="I128" s="6">
        <f t="shared" si="13"/>
        <v>59.08817097057163</v>
      </c>
      <c r="J128" s="2"/>
      <c r="L128" s="2"/>
    </row>
    <row r="129" spans="1:12" ht="19.5" customHeight="1">
      <c r="A129" s="17" t="s">
        <v>414</v>
      </c>
      <c r="B129" s="64" t="s">
        <v>371</v>
      </c>
      <c r="C129" s="74" t="s">
        <v>110</v>
      </c>
      <c r="D129" s="6">
        <f>SUM(D130:D133)</f>
        <v>390</v>
      </c>
      <c r="E129" s="6">
        <f>SUM(E130:E133)</f>
        <v>141.2</v>
      </c>
      <c r="F129" s="6">
        <f>SUM(F130:F133)</f>
        <v>330.73668</v>
      </c>
      <c r="G129" s="6">
        <f>SUM(G130:G132)</f>
        <v>10</v>
      </c>
      <c r="H129" s="5">
        <f t="shared" si="12"/>
        <v>-59.26332000000002</v>
      </c>
      <c r="I129" s="6">
        <f t="shared" si="13"/>
        <v>84.80427692307691</v>
      </c>
      <c r="J129" s="2"/>
      <c r="L129" s="38"/>
    </row>
    <row r="130" spans="1:12" ht="15" customHeight="1" hidden="1">
      <c r="A130" s="23" t="s">
        <v>342</v>
      </c>
      <c r="B130" s="50" t="s">
        <v>341</v>
      </c>
      <c r="C130" s="7" t="s">
        <v>470</v>
      </c>
      <c r="D130" s="1">
        <v>0</v>
      </c>
      <c r="E130" s="1">
        <v>21</v>
      </c>
      <c r="F130" s="8">
        <v>0</v>
      </c>
      <c r="G130" s="5">
        <f>F130-L129</f>
        <v>0</v>
      </c>
      <c r="H130" s="4">
        <f t="shared" si="12"/>
        <v>0</v>
      </c>
      <c r="I130" s="1" t="e">
        <f t="shared" si="13"/>
        <v>#DIV/0!</v>
      </c>
      <c r="J130" s="2"/>
      <c r="L130" s="38"/>
    </row>
    <row r="131" spans="1:12" ht="23.25" customHeight="1" hidden="1">
      <c r="A131" s="23" t="s">
        <v>382</v>
      </c>
      <c r="B131" s="50" t="s">
        <v>383</v>
      </c>
      <c r="C131" s="7" t="s">
        <v>471</v>
      </c>
      <c r="D131" s="1">
        <v>0</v>
      </c>
      <c r="E131" s="1">
        <v>120.2</v>
      </c>
      <c r="F131" s="8">
        <v>0</v>
      </c>
      <c r="G131" s="5">
        <f>F131-L130</f>
        <v>0</v>
      </c>
      <c r="H131" s="4">
        <f t="shared" si="12"/>
        <v>0</v>
      </c>
      <c r="I131" s="1" t="e">
        <f t="shared" si="13"/>
        <v>#DIV/0!</v>
      </c>
      <c r="J131" s="2"/>
      <c r="L131" s="37"/>
    </row>
    <row r="132" spans="1:12" ht="31.5" customHeight="1">
      <c r="A132" s="23" t="s">
        <v>382</v>
      </c>
      <c r="B132" s="50" t="s">
        <v>383</v>
      </c>
      <c r="C132" s="7" t="s">
        <v>179</v>
      </c>
      <c r="D132" s="1">
        <v>10</v>
      </c>
      <c r="E132" s="1"/>
      <c r="F132" s="4">
        <v>10</v>
      </c>
      <c r="G132" s="5">
        <f>F132-L131</f>
        <v>10</v>
      </c>
      <c r="H132" s="4">
        <f t="shared" si="12"/>
        <v>0</v>
      </c>
      <c r="I132" s="1">
        <f t="shared" si="13"/>
        <v>100</v>
      </c>
      <c r="J132" s="2"/>
      <c r="L132" s="2"/>
    </row>
    <row r="133" spans="1:12" ht="47.25">
      <c r="A133" s="23"/>
      <c r="B133" s="50" t="s">
        <v>42</v>
      </c>
      <c r="C133" s="63" t="s">
        <v>223</v>
      </c>
      <c r="D133" s="1">
        <v>380</v>
      </c>
      <c r="E133" s="1"/>
      <c r="F133" s="4">
        <v>320.73668</v>
      </c>
      <c r="G133" s="5"/>
      <c r="H133" s="4">
        <f t="shared" si="12"/>
        <v>-59.26332000000002</v>
      </c>
      <c r="I133" s="1">
        <f t="shared" si="13"/>
        <v>84.4043894736842</v>
      </c>
      <c r="J133" s="2"/>
      <c r="L133" s="2"/>
    </row>
    <row r="134" spans="1:12" ht="15.75">
      <c r="A134" s="19" t="s">
        <v>323</v>
      </c>
      <c r="B134" s="72" t="s">
        <v>324</v>
      </c>
      <c r="C134" s="55" t="s">
        <v>111</v>
      </c>
      <c r="D134" s="6">
        <f>D136+D137+D135+D138</f>
        <v>1451.2573699999998</v>
      </c>
      <c r="E134" s="6">
        <f>E136+E137+E135+E138</f>
        <v>336.9</v>
      </c>
      <c r="F134" s="6">
        <f>F136+F137+F135+F138</f>
        <v>992.49951</v>
      </c>
      <c r="G134" s="6">
        <f>G136+G137</f>
        <v>929.85751</v>
      </c>
      <c r="H134" s="5">
        <f t="shared" si="12"/>
        <v>-458.7578599999998</v>
      </c>
      <c r="I134" s="6">
        <f t="shared" si="13"/>
        <v>68.388938483048</v>
      </c>
      <c r="J134" s="2"/>
      <c r="L134" s="37"/>
    </row>
    <row r="135" spans="1:12" ht="48" customHeight="1">
      <c r="A135" s="19" t="s">
        <v>323</v>
      </c>
      <c r="B135" s="49" t="s">
        <v>21</v>
      </c>
      <c r="C135" s="55" t="s">
        <v>193</v>
      </c>
      <c r="D135" s="1">
        <v>45</v>
      </c>
      <c r="E135" s="1"/>
      <c r="F135" s="1">
        <v>26.92517</v>
      </c>
      <c r="G135" s="1"/>
      <c r="H135" s="4">
        <f t="shared" si="12"/>
        <v>-18.07483</v>
      </c>
      <c r="I135" s="1">
        <f t="shared" si="13"/>
        <v>59.83371111111111</v>
      </c>
      <c r="J135" s="2"/>
      <c r="L135" s="37"/>
    </row>
    <row r="136" spans="1:12" ht="62.25" customHeight="1">
      <c r="A136" s="19" t="s">
        <v>323</v>
      </c>
      <c r="B136" s="49" t="s">
        <v>415</v>
      </c>
      <c r="C136" s="7" t="s">
        <v>224</v>
      </c>
      <c r="D136" s="1">
        <v>70</v>
      </c>
      <c r="E136" s="1">
        <v>15</v>
      </c>
      <c r="F136" s="4">
        <v>48.39206</v>
      </c>
      <c r="G136" s="5">
        <f>F136-L134</f>
        <v>48.39206</v>
      </c>
      <c r="H136" s="4">
        <f aca="true" t="shared" si="14" ref="H136:H164">F136-D136</f>
        <v>-21.60794</v>
      </c>
      <c r="I136" s="1">
        <f aca="true" t="shared" si="15" ref="I136:I164">F136/D136*100</f>
        <v>69.13151428571429</v>
      </c>
      <c r="J136" s="2"/>
      <c r="L136" s="37"/>
    </row>
    <row r="137" spans="1:12" ht="31.5">
      <c r="A137" s="19" t="s">
        <v>323</v>
      </c>
      <c r="B137" s="49" t="s">
        <v>325</v>
      </c>
      <c r="C137" s="7" t="s">
        <v>427</v>
      </c>
      <c r="D137" s="1">
        <v>1275.39737</v>
      </c>
      <c r="E137" s="1">
        <v>321.9</v>
      </c>
      <c r="F137" s="4">
        <v>881.46545</v>
      </c>
      <c r="G137" s="5">
        <f>F137-L136</f>
        <v>881.46545</v>
      </c>
      <c r="H137" s="4">
        <f t="shared" si="14"/>
        <v>-393.9319199999999</v>
      </c>
      <c r="I137" s="1">
        <f t="shared" si="15"/>
        <v>69.11300514913246</v>
      </c>
      <c r="J137" s="2"/>
      <c r="L137" s="37"/>
    </row>
    <row r="138" spans="1:12" ht="46.5" customHeight="1">
      <c r="A138" s="19" t="s">
        <v>323</v>
      </c>
      <c r="B138" s="49" t="s">
        <v>22</v>
      </c>
      <c r="C138" s="55" t="s">
        <v>194</v>
      </c>
      <c r="D138" s="1">
        <v>60.86</v>
      </c>
      <c r="E138" s="1"/>
      <c r="F138" s="4">
        <v>35.71683</v>
      </c>
      <c r="G138" s="5"/>
      <c r="H138" s="4">
        <f t="shared" si="14"/>
        <v>-25.143169999999998</v>
      </c>
      <c r="I138" s="1">
        <f t="shared" si="15"/>
        <v>58.68687150837989</v>
      </c>
      <c r="J138" s="2"/>
      <c r="L138" s="37"/>
    </row>
    <row r="139" spans="1:12" ht="27.75" customHeight="1" hidden="1">
      <c r="A139" s="17" t="s">
        <v>343</v>
      </c>
      <c r="B139" s="48" t="s">
        <v>340</v>
      </c>
      <c r="C139" s="24" t="s">
        <v>7</v>
      </c>
      <c r="D139" s="1"/>
      <c r="E139" s="1"/>
      <c r="F139" s="4"/>
      <c r="G139" s="5">
        <f>F139-L137</f>
        <v>0</v>
      </c>
      <c r="H139" s="4">
        <f t="shared" si="14"/>
        <v>0</v>
      </c>
      <c r="I139" s="1" t="e">
        <f t="shared" si="15"/>
        <v>#DIV/0!</v>
      </c>
      <c r="J139" s="2"/>
      <c r="L139" s="37"/>
    </row>
    <row r="140" spans="1:12" ht="31.5" customHeight="1">
      <c r="A140" s="17" t="s">
        <v>416</v>
      </c>
      <c r="B140" s="64" t="s">
        <v>464</v>
      </c>
      <c r="C140" s="87" t="s">
        <v>199</v>
      </c>
      <c r="D140" s="88">
        <f>D141</f>
        <v>55</v>
      </c>
      <c r="E140" s="88">
        <f>E141</f>
        <v>50</v>
      </c>
      <c r="F140" s="88">
        <f>F141</f>
        <v>0</v>
      </c>
      <c r="G140" s="89">
        <f>G141</f>
        <v>0</v>
      </c>
      <c r="H140" s="5">
        <f t="shared" si="14"/>
        <v>-55</v>
      </c>
      <c r="I140" s="6">
        <f t="shared" si="15"/>
        <v>0</v>
      </c>
      <c r="J140" s="2"/>
      <c r="L140" s="37"/>
    </row>
    <row r="141" spans="1:12" ht="29.25" customHeight="1">
      <c r="A141" s="19" t="s">
        <v>416</v>
      </c>
      <c r="B141" s="49" t="s">
        <v>417</v>
      </c>
      <c r="C141" s="7" t="s">
        <v>202</v>
      </c>
      <c r="D141" s="9">
        <v>55</v>
      </c>
      <c r="E141" s="9">
        <v>50</v>
      </c>
      <c r="F141" s="4">
        <v>0</v>
      </c>
      <c r="G141" s="5">
        <f>F141-L140</f>
        <v>0</v>
      </c>
      <c r="H141" s="4">
        <f t="shared" si="14"/>
        <v>-55</v>
      </c>
      <c r="I141" s="1">
        <f t="shared" si="15"/>
        <v>0</v>
      </c>
      <c r="J141" s="2"/>
      <c r="L141" s="2"/>
    </row>
    <row r="142" spans="1:12" ht="30" customHeight="1" hidden="1">
      <c r="A142" s="19" t="s">
        <v>416</v>
      </c>
      <c r="B142" s="49" t="s">
        <v>478</v>
      </c>
      <c r="C142" s="7" t="s">
        <v>480</v>
      </c>
      <c r="D142" s="9"/>
      <c r="E142" s="9"/>
      <c r="F142" s="4"/>
      <c r="G142" s="5"/>
      <c r="H142" s="4">
        <f t="shared" si="14"/>
        <v>0</v>
      </c>
      <c r="I142" s="1" t="e">
        <f t="shared" si="15"/>
        <v>#DIV/0!</v>
      </c>
      <c r="J142" s="2"/>
      <c r="L142" s="2"/>
    </row>
    <row r="143" spans="1:12" ht="31.5">
      <c r="A143" s="17"/>
      <c r="B143" s="64" t="s">
        <v>367</v>
      </c>
      <c r="C143" s="74" t="s">
        <v>198</v>
      </c>
      <c r="D143" s="6">
        <f>SUM(D144:D148)</f>
        <v>923.5409999999999</v>
      </c>
      <c r="E143" s="6">
        <f>SUM(E144:E148)</f>
        <v>447.1</v>
      </c>
      <c r="F143" s="6">
        <f>SUM(F144:F148)</f>
        <v>844.73724</v>
      </c>
      <c r="G143" s="6">
        <f>SUM(G144:G146)</f>
        <v>430.52604</v>
      </c>
      <c r="H143" s="5">
        <f t="shared" si="14"/>
        <v>-78.8037599999999</v>
      </c>
      <c r="I143" s="6">
        <f t="shared" si="15"/>
        <v>91.46721585722779</v>
      </c>
      <c r="J143" s="2"/>
      <c r="L143" s="37"/>
    </row>
    <row r="144" spans="1:12" ht="50.25" customHeight="1" hidden="1">
      <c r="A144" s="17" t="s">
        <v>326</v>
      </c>
      <c r="B144" s="64" t="s">
        <v>327</v>
      </c>
      <c r="C144" s="55" t="s">
        <v>9</v>
      </c>
      <c r="D144" s="6">
        <v>0</v>
      </c>
      <c r="E144" s="6">
        <v>140</v>
      </c>
      <c r="F144" s="5"/>
      <c r="G144" s="5">
        <f>F144-L143</f>
        <v>0</v>
      </c>
      <c r="H144" s="5">
        <f t="shared" si="14"/>
        <v>0</v>
      </c>
      <c r="I144" s="6" t="e">
        <f t="shared" si="15"/>
        <v>#DIV/0!</v>
      </c>
      <c r="J144" s="2"/>
      <c r="L144" s="37"/>
    </row>
    <row r="145" spans="1:12" ht="48" customHeight="1">
      <c r="A145" s="17" t="s">
        <v>326</v>
      </c>
      <c r="B145" s="64" t="s">
        <v>327</v>
      </c>
      <c r="C145" s="55" t="s">
        <v>195</v>
      </c>
      <c r="D145" s="6">
        <v>483.546</v>
      </c>
      <c r="E145" s="6">
        <v>292.6</v>
      </c>
      <c r="F145" s="5">
        <v>415.51404</v>
      </c>
      <c r="G145" s="5">
        <f>F145-L144</f>
        <v>415.51404</v>
      </c>
      <c r="H145" s="5">
        <f t="shared" si="14"/>
        <v>-68.03195999999997</v>
      </c>
      <c r="I145" s="6">
        <f t="shared" si="15"/>
        <v>85.93061259942178</v>
      </c>
      <c r="J145" s="2"/>
      <c r="L145" s="37"/>
    </row>
    <row r="146" spans="1:12" ht="48.75" customHeight="1">
      <c r="A146" s="17" t="s">
        <v>326</v>
      </c>
      <c r="B146" s="64" t="s">
        <v>389</v>
      </c>
      <c r="C146" s="63" t="s">
        <v>196</v>
      </c>
      <c r="D146" s="6">
        <v>18</v>
      </c>
      <c r="E146" s="6">
        <v>12.5</v>
      </c>
      <c r="F146" s="5">
        <v>15.012</v>
      </c>
      <c r="G146" s="5">
        <f>F146-L145</f>
        <v>15.012</v>
      </c>
      <c r="H146" s="5">
        <f t="shared" si="14"/>
        <v>-2.9879999999999995</v>
      </c>
      <c r="I146" s="6">
        <f t="shared" si="15"/>
        <v>83.4</v>
      </c>
      <c r="J146" s="2"/>
      <c r="L146" s="37"/>
    </row>
    <row r="147" spans="1:12" ht="31.5" hidden="1">
      <c r="A147" s="17" t="s">
        <v>328</v>
      </c>
      <c r="B147" s="64" t="s">
        <v>435</v>
      </c>
      <c r="C147" s="63" t="s">
        <v>10</v>
      </c>
      <c r="D147" s="6">
        <v>0</v>
      </c>
      <c r="E147" s="6">
        <v>2</v>
      </c>
      <c r="F147" s="5">
        <v>0</v>
      </c>
      <c r="G147" s="5">
        <f>F147-L146</f>
        <v>0</v>
      </c>
      <c r="H147" s="5">
        <f t="shared" si="14"/>
        <v>0</v>
      </c>
      <c r="I147" s="6" t="e">
        <f t="shared" si="15"/>
        <v>#DIV/0!</v>
      </c>
      <c r="J147" s="2"/>
      <c r="L147" s="37"/>
    </row>
    <row r="148" spans="1:12" ht="49.5" customHeight="1">
      <c r="A148" s="17" t="s">
        <v>326</v>
      </c>
      <c r="B148" s="64" t="s">
        <v>327</v>
      </c>
      <c r="C148" s="63" t="s">
        <v>225</v>
      </c>
      <c r="D148" s="6">
        <v>421.995</v>
      </c>
      <c r="E148" s="6"/>
      <c r="F148" s="5">
        <v>414.2112</v>
      </c>
      <c r="G148" s="5"/>
      <c r="H148" s="5">
        <f t="shared" si="14"/>
        <v>-7.783799999999985</v>
      </c>
      <c r="I148" s="6">
        <f t="shared" si="15"/>
        <v>98.15547577577934</v>
      </c>
      <c r="J148" s="2"/>
      <c r="L148" s="37"/>
    </row>
    <row r="149" spans="1:12" ht="31.5">
      <c r="A149" s="17"/>
      <c r="B149" s="64" t="s">
        <v>48</v>
      </c>
      <c r="C149" s="63" t="s">
        <v>197</v>
      </c>
      <c r="D149" s="6">
        <f>D150+D151+D152+D155+D153+D154</f>
        <v>453.14347</v>
      </c>
      <c r="E149" s="6">
        <f>E150+E151+E152+E155+E153+E154</f>
        <v>10</v>
      </c>
      <c r="F149" s="6">
        <f>F150+F151+F152+F155+F153+F154</f>
        <v>319.47099000000003</v>
      </c>
      <c r="G149" s="5"/>
      <c r="H149" s="5">
        <f t="shared" si="14"/>
        <v>-133.67247999999995</v>
      </c>
      <c r="I149" s="6">
        <f t="shared" si="15"/>
        <v>70.50106889987845</v>
      </c>
      <c r="J149" s="2"/>
      <c r="L149" s="37"/>
    </row>
    <row r="150" spans="1:12" ht="65.25" customHeight="1">
      <c r="A150" s="17"/>
      <c r="B150" s="64" t="s">
        <v>435</v>
      </c>
      <c r="C150" s="63" t="s">
        <v>129</v>
      </c>
      <c r="D150" s="6">
        <f>20.385-5</f>
        <v>15.385000000000002</v>
      </c>
      <c r="E150" s="6"/>
      <c r="F150" s="5">
        <v>0.505</v>
      </c>
      <c r="G150" s="5"/>
      <c r="H150" s="5">
        <f t="shared" si="14"/>
        <v>-14.88</v>
      </c>
      <c r="I150" s="6">
        <f t="shared" si="15"/>
        <v>3.282417939551511</v>
      </c>
      <c r="J150" s="2"/>
      <c r="L150" s="37"/>
    </row>
    <row r="151" spans="1:12" ht="63">
      <c r="A151" s="17" t="s">
        <v>328</v>
      </c>
      <c r="B151" s="64" t="s">
        <v>435</v>
      </c>
      <c r="C151" s="63" t="s">
        <v>201</v>
      </c>
      <c r="D151" s="6">
        <f>15.75847</f>
        <v>15.75847</v>
      </c>
      <c r="E151" s="6">
        <v>10</v>
      </c>
      <c r="F151" s="5">
        <v>4.39247</v>
      </c>
      <c r="G151" s="5">
        <f>F151-L147</f>
        <v>4.39247</v>
      </c>
      <c r="H151" s="5">
        <f t="shared" si="14"/>
        <v>-11.366</v>
      </c>
      <c r="I151" s="6">
        <f t="shared" si="15"/>
        <v>27.87370855165508</v>
      </c>
      <c r="J151" s="2"/>
      <c r="L151" s="37"/>
    </row>
    <row r="152" spans="1:12" ht="47.25">
      <c r="A152" s="25" t="s">
        <v>328</v>
      </c>
      <c r="B152" s="64" t="s">
        <v>435</v>
      </c>
      <c r="C152" s="63" t="s">
        <v>226</v>
      </c>
      <c r="D152" s="6">
        <v>30</v>
      </c>
      <c r="E152" s="6"/>
      <c r="F152" s="5">
        <v>7.8</v>
      </c>
      <c r="G152" s="5"/>
      <c r="H152" s="5">
        <f t="shared" si="14"/>
        <v>-22.2</v>
      </c>
      <c r="I152" s="6">
        <f t="shared" si="15"/>
        <v>26</v>
      </c>
      <c r="J152" s="2"/>
      <c r="L152" s="37"/>
    </row>
    <row r="153" spans="1:12" ht="63.75" customHeight="1">
      <c r="A153" s="25"/>
      <c r="B153" s="64" t="s">
        <v>435</v>
      </c>
      <c r="C153" s="63" t="s">
        <v>201</v>
      </c>
      <c r="D153" s="6">
        <v>368</v>
      </c>
      <c r="E153" s="6"/>
      <c r="F153" s="5">
        <v>287.97352</v>
      </c>
      <c r="G153" s="5"/>
      <c r="H153" s="5">
        <f t="shared" si="14"/>
        <v>-80.02647999999999</v>
      </c>
      <c r="I153" s="6">
        <f t="shared" si="15"/>
        <v>78.25367391304347</v>
      </c>
      <c r="J153" s="2"/>
      <c r="L153" s="37"/>
    </row>
    <row r="154" spans="1:12" ht="31.5">
      <c r="A154" s="25"/>
      <c r="B154" s="64" t="s">
        <v>435</v>
      </c>
      <c r="C154" s="63" t="s">
        <v>130</v>
      </c>
      <c r="D154" s="6">
        <v>19</v>
      </c>
      <c r="E154" s="6"/>
      <c r="F154" s="5">
        <v>18.8</v>
      </c>
      <c r="G154" s="5"/>
      <c r="H154" s="5">
        <f t="shared" si="14"/>
        <v>-0.1999999999999993</v>
      </c>
      <c r="I154" s="6">
        <f t="shared" si="15"/>
        <v>98.94736842105264</v>
      </c>
      <c r="J154" s="2"/>
      <c r="L154" s="37"/>
    </row>
    <row r="155" spans="1:12" ht="30.75" customHeight="1">
      <c r="A155" s="25" t="s">
        <v>328</v>
      </c>
      <c r="B155" s="64" t="s">
        <v>203</v>
      </c>
      <c r="C155" s="63" t="s">
        <v>204</v>
      </c>
      <c r="D155" s="6">
        <v>5</v>
      </c>
      <c r="E155" s="6"/>
      <c r="F155" s="5">
        <v>0</v>
      </c>
      <c r="G155" s="5"/>
      <c r="H155" s="5">
        <f t="shared" si="14"/>
        <v>-5</v>
      </c>
      <c r="I155" s="6">
        <f t="shared" si="15"/>
        <v>0</v>
      </c>
      <c r="J155" s="2"/>
      <c r="L155" s="37"/>
    </row>
    <row r="156" spans="1:12" ht="32.25" customHeight="1">
      <c r="A156" s="17" t="s">
        <v>418</v>
      </c>
      <c r="B156" s="64" t="s">
        <v>465</v>
      </c>
      <c r="C156" s="55" t="s">
        <v>207</v>
      </c>
      <c r="D156" s="6">
        <f>D157+D158</f>
        <v>289.9</v>
      </c>
      <c r="E156" s="6">
        <f>E157+E158</f>
        <v>119.7</v>
      </c>
      <c r="F156" s="6">
        <f>F157+F158</f>
        <v>223.61278</v>
      </c>
      <c r="G156" s="5"/>
      <c r="H156" s="5">
        <f t="shared" si="14"/>
        <v>-66.28721999999999</v>
      </c>
      <c r="I156" s="6">
        <f t="shared" si="15"/>
        <v>77.13445325974475</v>
      </c>
      <c r="J156" s="2"/>
      <c r="L156" s="37"/>
    </row>
    <row r="157" spans="1:12" ht="60" customHeight="1">
      <c r="A157" s="17" t="s">
        <v>418</v>
      </c>
      <c r="B157" s="64" t="s">
        <v>347</v>
      </c>
      <c r="C157" s="55" t="s">
        <v>208</v>
      </c>
      <c r="D157" s="6">
        <f>42.5-3-5</f>
        <v>34.5</v>
      </c>
      <c r="E157" s="6">
        <v>20</v>
      </c>
      <c r="F157" s="5">
        <v>17.72697</v>
      </c>
      <c r="G157" s="5">
        <f>F157-L156</f>
        <v>17.72697</v>
      </c>
      <c r="H157" s="5">
        <f t="shared" si="14"/>
        <v>-16.77303</v>
      </c>
      <c r="I157" s="6">
        <f t="shared" si="15"/>
        <v>51.38252173913044</v>
      </c>
      <c r="J157" s="2"/>
      <c r="L157" s="37"/>
    </row>
    <row r="158" spans="1:12" ht="31.5">
      <c r="A158" s="17" t="s">
        <v>418</v>
      </c>
      <c r="B158" s="64" t="s">
        <v>339</v>
      </c>
      <c r="C158" s="55" t="s">
        <v>472</v>
      </c>
      <c r="D158" s="6">
        <v>255.4</v>
      </c>
      <c r="E158" s="6">
        <v>99.7</v>
      </c>
      <c r="F158" s="5">
        <v>205.88581</v>
      </c>
      <c r="G158" s="5">
        <f>F158-L157</f>
        <v>205.88581</v>
      </c>
      <c r="H158" s="5">
        <f t="shared" si="14"/>
        <v>-49.51419000000001</v>
      </c>
      <c r="I158" s="6">
        <f t="shared" si="15"/>
        <v>80.61308144087705</v>
      </c>
      <c r="J158" s="2"/>
      <c r="L158" s="37"/>
    </row>
    <row r="159" spans="1:12" ht="15" customHeight="1">
      <c r="A159" s="17"/>
      <c r="B159" s="64" t="s">
        <v>466</v>
      </c>
      <c r="C159" s="55" t="s">
        <v>209</v>
      </c>
      <c r="D159" s="6">
        <f>D161+D170+D172+D173+D174+D175+D176+D177+D180+D179+D171+D162+D178</f>
        <v>495.20534</v>
      </c>
      <c r="E159" s="6">
        <f>E161+E170+E172+E173+E174+E175+E176+E177+E180+E179+E171+E162+E178</f>
        <v>0</v>
      </c>
      <c r="F159" s="6">
        <f>F161+F170+F172+F173+F174+F175+F176+F177+F180+F179+F171+F162+F178</f>
        <v>331.8009</v>
      </c>
      <c r="G159" s="6" t="e">
        <f>G160+G161+G162+G163+G166+G167+G172+G173+G180+#REF!+#REF!+#REF!</f>
        <v>#REF!</v>
      </c>
      <c r="H159" s="5">
        <f t="shared" si="14"/>
        <v>-163.40443999999997</v>
      </c>
      <c r="I159" s="6">
        <f t="shared" si="15"/>
        <v>67.00269023754873</v>
      </c>
      <c r="J159" s="2"/>
      <c r="L159" s="37"/>
    </row>
    <row r="160" spans="1:12" ht="13.5" customHeight="1" hidden="1">
      <c r="A160" s="17" t="s">
        <v>329</v>
      </c>
      <c r="B160" s="48" t="s">
        <v>330</v>
      </c>
      <c r="C160" s="18" t="s">
        <v>364</v>
      </c>
      <c r="D160" s="1">
        <v>0</v>
      </c>
      <c r="E160" s="1">
        <v>60</v>
      </c>
      <c r="F160" s="4">
        <v>0</v>
      </c>
      <c r="G160" s="5">
        <f>F160-L159</f>
        <v>0</v>
      </c>
      <c r="H160" s="4">
        <f t="shared" si="14"/>
        <v>0</v>
      </c>
      <c r="I160" s="1" t="e">
        <f t="shared" si="15"/>
        <v>#DIV/0!</v>
      </c>
      <c r="J160" s="2"/>
      <c r="L160" s="2"/>
    </row>
    <row r="161" spans="1:12" ht="47.25" hidden="1">
      <c r="A161" s="17" t="s">
        <v>329</v>
      </c>
      <c r="B161" s="64" t="s">
        <v>428</v>
      </c>
      <c r="C161" s="55" t="s">
        <v>210</v>
      </c>
      <c r="D161" s="6"/>
      <c r="E161" s="6"/>
      <c r="F161" s="6"/>
      <c r="G161" s="5">
        <f>F161-L160</f>
        <v>0</v>
      </c>
      <c r="H161" s="5">
        <f t="shared" si="14"/>
        <v>0</v>
      </c>
      <c r="I161" s="6" t="e">
        <f t="shared" si="15"/>
        <v>#DIV/0!</v>
      </c>
      <c r="J161" s="2"/>
      <c r="L161" s="37"/>
    </row>
    <row r="162" spans="1:12" ht="47.25">
      <c r="A162" s="17" t="s">
        <v>332</v>
      </c>
      <c r="B162" s="48" t="s">
        <v>428</v>
      </c>
      <c r="C162" s="7" t="s">
        <v>211</v>
      </c>
      <c r="D162" s="1">
        <v>67.5</v>
      </c>
      <c r="E162" s="1"/>
      <c r="F162" s="4">
        <v>55.16228</v>
      </c>
      <c r="G162" s="5">
        <f>F162-L161</f>
        <v>55.16228</v>
      </c>
      <c r="H162" s="4">
        <f t="shared" si="14"/>
        <v>-12.337719999999997</v>
      </c>
      <c r="I162" s="1">
        <f t="shared" si="15"/>
        <v>81.72189629629631</v>
      </c>
      <c r="J162" s="2"/>
      <c r="L162" s="37"/>
    </row>
    <row r="163" spans="1:12" ht="0.75" customHeight="1">
      <c r="A163" s="19" t="s">
        <v>332</v>
      </c>
      <c r="B163" s="49" t="s">
        <v>338</v>
      </c>
      <c r="C163" s="26" t="s">
        <v>3</v>
      </c>
      <c r="D163" s="1">
        <v>0</v>
      </c>
      <c r="E163" s="1"/>
      <c r="F163" s="4"/>
      <c r="G163" s="5">
        <f>F163-L162</f>
        <v>0</v>
      </c>
      <c r="H163" s="4">
        <f t="shared" si="14"/>
        <v>0</v>
      </c>
      <c r="I163" s="1" t="e">
        <f t="shared" si="15"/>
        <v>#DIV/0!</v>
      </c>
      <c r="J163" s="2"/>
      <c r="L163" s="2"/>
    </row>
    <row r="164" spans="1:12" ht="31.5" hidden="1">
      <c r="A164" s="17" t="s">
        <v>329</v>
      </c>
      <c r="B164" s="48" t="s">
        <v>331</v>
      </c>
      <c r="C164" s="7" t="s">
        <v>437</v>
      </c>
      <c r="D164" s="1"/>
      <c r="E164" s="1">
        <v>0</v>
      </c>
      <c r="F164" s="1"/>
      <c r="G164" s="5">
        <f>F164-L163</f>
        <v>0</v>
      </c>
      <c r="H164" s="4">
        <f t="shared" si="14"/>
        <v>0</v>
      </c>
      <c r="I164" s="1" t="e">
        <f t="shared" si="15"/>
        <v>#DIV/0!</v>
      </c>
      <c r="J164" s="2"/>
      <c r="L164" s="2"/>
    </row>
    <row r="165" spans="1:12" ht="15.75" hidden="1">
      <c r="A165" s="25"/>
      <c r="B165" s="51"/>
      <c r="C165" s="7"/>
      <c r="D165" s="10"/>
      <c r="E165" s="10"/>
      <c r="F165" s="10"/>
      <c r="G165" s="8"/>
      <c r="H165" s="8"/>
      <c r="I165" s="10"/>
      <c r="J165" s="2"/>
      <c r="L165" s="2"/>
    </row>
    <row r="166" spans="1:12" ht="47.25" hidden="1">
      <c r="A166" s="17" t="s">
        <v>329</v>
      </c>
      <c r="B166" s="48" t="s">
        <v>331</v>
      </c>
      <c r="C166" s="7" t="s">
        <v>5</v>
      </c>
      <c r="D166" s="6"/>
      <c r="E166" s="1"/>
      <c r="F166" s="1"/>
      <c r="G166" s="5"/>
      <c r="H166" s="4">
        <f aca="true" t="shared" si="16" ref="H166:H185">F166-D166</f>
        <v>0</v>
      </c>
      <c r="I166" s="1" t="e">
        <f aca="true" t="shared" si="17" ref="I166:I185">F166/D166*100</f>
        <v>#DIV/0!</v>
      </c>
      <c r="J166" s="2"/>
      <c r="L166" s="2"/>
    </row>
    <row r="167" spans="1:12" ht="15.75" hidden="1">
      <c r="A167" s="17" t="s">
        <v>329</v>
      </c>
      <c r="B167" s="48" t="s">
        <v>331</v>
      </c>
      <c r="C167" s="7" t="s">
        <v>4</v>
      </c>
      <c r="D167" s="6"/>
      <c r="E167" s="1">
        <v>0.3</v>
      </c>
      <c r="F167" s="1"/>
      <c r="G167" s="5">
        <f>F167-L165</f>
        <v>0</v>
      </c>
      <c r="H167" s="4">
        <f t="shared" si="16"/>
        <v>0</v>
      </c>
      <c r="I167" s="1" t="e">
        <f t="shared" si="17"/>
        <v>#DIV/0!</v>
      </c>
      <c r="J167" s="2"/>
      <c r="L167" s="2"/>
    </row>
    <row r="168" spans="1:12" ht="15.75" hidden="1">
      <c r="A168" s="17" t="s">
        <v>329</v>
      </c>
      <c r="B168" s="48" t="s">
        <v>331</v>
      </c>
      <c r="C168" s="7" t="s">
        <v>450</v>
      </c>
      <c r="D168" s="11">
        <v>0</v>
      </c>
      <c r="E168" s="1">
        <v>2.5</v>
      </c>
      <c r="F168" s="1">
        <v>0</v>
      </c>
      <c r="G168" s="5">
        <f>F168-L167</f>
        <v>0</v>
      </c>
      <c r="H168" s="4">
        <f t="shared" si="16"/>
        <v>0</v>
      </c>
      <c r="I168" s="1" t="e">
        <f t="shared" si="17"/>
        <v>#DIV/0!</v>
      </c>
      <c r="J168" s="2"/>
      <c r="L168" s="2"/>
    </row>
    <row r="169" spans="1:12" ht="31.5" hidden="1">
      <c r="A169" s="17" t="s">
        <v>329</v>
      </c>
      <c r="B169" s="48" t="s">
        <v>331</v>
      </c>
      <c r="C169" s="7" t="s">
        <v>477</v>
      </c>
      <c r="D169" s="6"/>
      <c r="E169" s="1">
        <v>50</v>
      </c>
      <c r="F169" s="1">
        <v>0</v>
      </c>
      <c r="G169" s="5">
        <f>F169-L168</f>
        <v>0</v>
      </c>
      <c r="H169" s="4">
        <f t="shared" si="16"/>
        <v>0</v>
      </c>
      <c r="I169" s="1" t="e">
        <f t="shared" si="17"/>
        <v>#DIV/0!</v>
      </c>
      <c r="J169" s="2"/>
      <c r="L169" s="2"/>
    </row>
    <row r="170" spans="1:12" ht="15.75" hidden="1">
      <c r="A170" s="17" t="s">
        <v>329</v>
      </c>
      <c r="B170" s="48" t="s">
        <v>330</v>
      </c>
      <c r="C170" s="7" t="s">
        <v>364</v>
      </c>
      <c r="D170" s="6"/>
      <c r="E170" s="1"/>
      <c r="F170" s="1">
        <v>0</v>
      </c>
      <c r="G170" s="5"/>
      <c r="H170" s="4">
        <f t="shared" si="16"/>
        <v>0</v>
      </c>
      <c r="I170" s="1" t="e">
        <f t="shared" si="17"/>
        <v>#DIV/0!</v>
      </c>
      <c r="J170" s="2"/>
      <c r="L170" s="2"/>
    </row>
    <row r="171" spans="1:12" ht="47.25" hidden="1">
      <c r="A171" s="17"/>
      <c r="B171" s="48" t="s">
        <v>80</v>
      </c>
      <c r="C171" s="7" t="s">
        <v>81</v>
      </c>
      <c r="D171" s="6"/>
      <c r="E171" s="1"/>
      <c r="F171" s="1">
        <v>0</v>
      </c>
      <c r="G171" s="5"/>
      <c r="H171" s="4">
        <f t="shared" si="16"/>
        <v>0</v>
      </c>
      <c r="I171" s="1" t="e">
        <f t="shared" si="17"/>
        <v>#DIV/0!</v>
      </c>
      <c r="J171" s="2"/>
      <c r="L171" s="2"/>
    </row>
    <row r="172" spans="1:12" ht="48.75" customHeight="1">
      <c r="A172" s="17" t="s">
        <v>332</v>
      </c>
      <c r="B172" s="48" t="s">
        <v>467</v>
      </c>
      <c r="C172" s="7" t="s">
        <v>227</v>
      </c>
      <c r="D172" s="6">
        <v>119</v>
      </c>
      <c r="E172" s="1"/>
      <c r="F172" s="1">
        <v>88.74841</v>
      </c>
      <c r="G172" s="5"/>
      <c r="H172" s="4">
        <f t="shared" si="16"/>
        <v>-30.251589999999993</v>
      </c>
      <c r="I172" s="1">
        <f t="shared" si="17"/>
        <v>74.57849579831934</v>
      </c>
      <c r="J172" s="2"/>
      <c r="L172" s="2"/>
    </row>
    <row r="173" spans="1:12" ht="63">
      <c r="A173" s="17" t="s">
        <v>332</v>
      </c>
      <c r="B173" s="48" t="s">
        <v>467</v>
      </c>
      <c r="C173" s="7" t="s">
        <v>212</v>
      </c>
      <c r="D173" s="6">
        <v>19.7</v>
      </c>
      <c r="E173" s="1"/>
      <c r="F173" s="1">
        <v>11.2704</v>
      </c>
      <c r="G173" s="5"/>
      <c r="H173" s="4">
        <f t="shared" si="16"/>
        <v>-8.429599999999999</v>
      </c>
      <c r="I173" s="1">
        <f t="shared" si="17"/>
        <v>57.21015228426396</v>
      </c>
      <c r="J173" s="2"/>
      <c r="L173" s="2"/>
    </row>
    <row r="174" spans="1:12" ht="63">
      <c r="A174" s="17"/>
      <c r="B174" s="48" t="s">
        <v>467</v>
      </c>
      <c r="C174" s="7" t="s">
        <v>228</v>
      </c>
      <c r="D174" s="6">
        <v>64.834</v>
      </c>
      <c r="E174" s="1"/>
      <c r="F174" s="1">
        <v>16.0578</v>
      </c>
      <c r="G174" s="5"/>
      <c r="H174" s="4">
        <f t="shared" si="16"/>
        <v>-48.7762</v>
      </c>
      <c r="I174" s="1">
        <f t="shared" si="17"/>
        <v>24.767560230743126</v>
      </c>
      <c r="J174" s="2"/>
      <c r="L174" s="2"/>
    </row>
    <row r="175" spans="1:12" ht="78.75">
      <c r="A175" s="17"/>
      <c r="B175" s="48" t="s">
        <v>467</v>
      </c>
      <c r="C175" s="7" t="s">
        <v>273</v>
      </c>
      <c r="D175" s="6">
        <v>15</v>
      </c>
      <c r="E175" s="1"/>
      <c r="F175" s="1">
        <v>12.37516</v>
      </c>
      <c r="G175" s="5"/>
      <c r="H175" s="4">
        <f t="shared" si="16"/>
        <v>-2.6248400000000007</v>
      </c>
      <c r="I175" s="1">
        <f t="shared" si="17"/>
        <v>82.50106666666667</v>
      </c>
      <c r="J175" s="2"/>
      <c r="L175" s="2"/>
    </row>
    <row r="176" spans="1:12" ht="63">
      <c r="A176" s="17"/>
      <c r="B176" s="48" t="s">
        <v>467</v>
      </c>
      <c r="C176" s="7" t="s">
        <v>214</v>
      </c>
      <c r="D176" s="6">
        <v>45</v>
      </c>
      <c r="E176" s="1"/>
      <c r="F176" s="1">
        <v>35.78078</v>
      </c>
      <c r="G176" s="5"/>
      <c r="H176" s="4">
        <f t="shared" si="16"/>
        <v>-9.21922</v>
      </c>
      <c r="I176" s="1">
        <f t="shared" si="17"/>
        <v>79.51284444444444</v>
      </c>
      <c r="J176" s="2"/>
      <c r="L176" s="2"/>
    </row>
    <row r="177" spans="1:12" ht="78" customHeight="1">
      <c r="A177" s="17"/>
      <c r="B177" s="48" t="s">
        <v>467</v>
      </c>
      <c r="C177" s="7" t="s">
        <v>215</v>
      </c>
      <c r="D177" s="6">
        <v>22.9</v>
      </c>
      <c r="E177" s="1"/>
      <c r="F177" s="1">
        <v>22.744</v>
      </c>
      <c r="G177" s="5"/>
      <c r="H177" s="4">
        <f t="shared" si="16"/>
        <v>-0.1559999999999988</v>
      </c>
      <c r="I177" s="1">
        <f t="shared" si="17"/>
        <v>99.31877729257643</v>
      </c>
      <c r="J177" s="2"/>
      <c r="L177" s="2"/>
    </row>
    <row r="178" spans="1:12" ht="78.75" hidden="1">
      <c r="A178" s="17"/>
      <c r="B178" s="48" t="s">
        <v>467</v>
      </c>
      <c r="C178" s="7" t="s">
        <v>183</v>
      </c>
      <c r="D178" s="6">
        <f>110-110</f>
        <v>0</v>
      </c>
      <c r="E178" s="1"/>
      <c r="F178" s="1">
        <v>0</v>
      </c>
      <c r="G178" s="5"/>
      <c r="H178" s="4">
        <f t="shared" si="16"/>
        <v>0</v>
      </c>
      <c r="I178" s="1" t="e">
        <f t="shared" si="17"/>
        <v>#DIV/0!</v>
      </c>
      <c r="J178" s="2"/>
      <c r="L178" s="2"/>
    </row>
    <row r="179" spans="1:12" ht="78.75">
      <c r="A179" s="17"/>
      <c r="B179" s="48" t="s">
        <v>467</v>
      </c>
      <c r="C179" s="7" t="s">
        <v>79</v>
      </c>
      <c r="D179" s="6">
        <v>9.6</v>
      </c>
      <c r="E179" s="1"/>
      <c r="F179" s="1">
        <v>0</v>
      </c>
      <c r="G179" s="5"/>
      <c r="H179" s="4">
        <f t="shared" si="16"/>
        <v>-9.6</v>
      </c>
      <c r="I179" s="1">
        <f t="shared" si="17"/>
        <v>0</v>
      </c>
      <c r="J179" s="2"/>
      <c r="L179" s="2"/>
    </row>
    <row r="180" spans="1:12" ht="14.25" customHeight="1">
      <c r="A180" s="17" t="s">
        <v>332</v>
      </c>
      <c r="B180" s="48" t="s">
        <v>331</v>
      </c>
      <c r="C180" s="7" t="s">
        <v>216</v>
      </c>
      <c r="D180" s="6">
        <v>131.67134</v>
      </c>
      <c r="E180" s="1"/>
      <c r="F180" s="1">
        <v>89.66207</v>
      </c>
      <c r="G180" s="5"/>
      <c r="H180" s="4">
        <f t="shared" si="16"/>
        <v>-42.00926999999999</v>
      </c>
      <c r="I180" s="1">
        <f t="shared" si="17"/>
        <v>68.0953577293282</v>
      </c>
      <c r="J180" s="2"/>
      <c r="L180" s="2"/>
    </row>
    <row r="181" spans="1:12" ht="13.5" customHeight="1" hidden="1">
      <c r="A181" s="17"/>
      <c r="B181" s="48" t="s">
        <v>467</v>
      </c>
      <c r="C181" s="7" t="s">
        <v>16</v>
      </c>
      <c r="D181" s="6"/>
      <c r="E181" s="1"/>
      <c r="F181" s="1">
        <v>0</v>
      </c>
      <c r="G181" s="5"/>
      <c r="H181" s="4">
        <f t="shared" si="16"/>
        <v>0</v>
      </c>
      <c r="I181" s="1" t="e">
        <f t="shared" si="17"/>
        <v>#DIV/0!</v>
      </c>
      <c r="J181" s="2"/>
      <c r="L181" s="2"/>
    </row>
    <row r="182" spans="1:12" ht="15.75">
      <c r="A182" s="90"/>
      <c r="B182" s="64"/>
      <c r="C182" s="55" t="s">
        <v>419</v>
      </c>
      <c r="D182" s="6">
        <f>D10+D20+D21+D38+D114+D122+D129+D134+D140+D143+D149+D156+D159</f>
        <v>124315.16765999999</v>
      </c>
      <c r="E182" s="6">
        <f>E10+E20+E21+E38+E114+E122+E129+E134+E140+E143+E149+E156+E159</f>
        <v>36216.49999999999</v>
      </c>
      <c r="F182" s="6">
        <f>F10+F20+F21+F38+F114+F122+F129+F134+F140+F143+F149+F156+F159</f>
        <v>96653.18554999998</v>
      </c>
      <c r="G182" s="6" t="e">
        <f>G10+G21+G36+G38+G114+G122+G129+G134+G139+G141+G143+G147+G151+G157+G158+G160+G161+G163+G162+G164+G165+G167+G168+G169</f>
        <v>#REF!</v>
      </c>
      <c r="H182" s="5">
        <f t="shared" si="16"/>
        <v>-27661.98211000001</v>
      </c>
      <c r="I182" s="6">
        <f t="shared" si="17"/>
        <v>77.7485059702006</v>
      </c>
      <c r="J182" s="2"/>
      <c r="L182" s="37"/>
    </row>
    <row r="183" spans="1:12" ht="18.75" customHeight="1">
      <c r="A183" s="90" t="s">
        <v>332</v>
      </c>
      <c r="B183" s="64" t="s">
        <v>333</v>
      </c>
      <c r="C183" s="55" t="s">
        <v>420</v>
      </c>
      <c r="D183" s="6">
        <v>42313.4</v>
      </c>
      <c r="E183" s="6">
        <v>10216.7</v>
      </c>
      <c r="F183" s="5">
        <v>32169.46753</v>
      </c>
      <c r="G183" s="5">
        <f>F183-L182</f>
        <v>32169.46753</v>
      </c>
      <c r="H183" s="5">
        <f t="shared" si="16"/>
        <v>-10143.93247</v>
      </c>
      <c r="I183" s="6">
        <f t="shared" si="17"/>
        <v>76.02666656425625</v>
      </c>
      <c r="J183" s="2"/>
      <c r="L183" s="2"/>
    </row>
    <row r="184" spans="1:12" ht="33.75" customHeight="1">
      <c r="A184" s="90"/>
      <c r="B184" s="64" t="s">
        <v>131</v>
      </c>
      <c r="C184" s="55" t="s">
        <v>404</v>
      </c>
      <c r="D184" s="6">
        <v>135.012</v>
      </c>
      <c r="E184" s="6"/>
      <c r="F184" s="5">
        <v>135.01154</v>
      </c>
      <c r="G184" s="5"/>
      <c r="H184" s="5">
        <f t="shared" si="16"/>
        <v>-0.00046000000000390173</v>
      </c>
      <c r="I184" s="6">
        <f t="shared" si="17"/>
        <v>99.99965928954462</v>
      </c>
      <c r="J184" s="2"/>
      <c r="L184" s="2"/>
    </row>
    <row r="185" spans="1:12" ht="15.75">
      <c r="A185" s="90"/>
      <c r="B185" s="90"/>
      <c r="C185" s="55" t="s">
        <v>289</v>
      </c>
      <c r="D185" s="6">
        <f>SUM(D182:D184)</f>
        <v>166763.57966</v>
      </c>
      <c r="E185" s="6">
        <f>SUM(E182:E184)</f>
        <v>46433.2</v>
      </c>
      <c r="F185" s="6">
        <f>SUM(F182:F184)</f>
        <v>128957.66462</v>
      </c>
      <c r="G185" s="6" t="e">
        <f>G182+G183</f>
        <v>#REF!</v>
      </c>
      <c r="H185" s="5">
        <f t="shared" si="16"/>
        <v>-37805.91503999999</v>
      </c>
      <c r="I185" s="6">
        <f t="shared" si="17"/>
        <v>77.32963329458433</v>
      </c>
      <c r="J185" s="58"/>
      <c r="L185" s="29"/>
    </row>
    <row r="186" spans="1:12" ht="15.75">
      <c r="A186" s="111"/>
      <c r="B186" s="111"/>
      <c r="C186" s="111"/>
      <c r="D186" s="111"/>
      <c r="E186" s="111"/>
      <c r="F186" s="111"/>
      <c r="G186" s="111"/>
      <c r="H186" s="111"/>
      <c r="I186" s="112"/>
      <c r="J186" s="58"/>
      <c r="L186" s="29"/>
    </row>
    <row r="187" spans="1:12" s="28" customFormat="1" ht="15.75">
      <c r="A187" s="91"/>
      <c r="B187" s="92"/>
      <c r="C187" s="93" t="s">
        <v>475</v>
      </c>
      <c r="D187" s="71">
        <f>D188+D190+D201+D205+D220+D226+D229+D235+D239+D243+D246+D249+D255+D189</f>
        <v>26115.995809999997</v>
      </c>
      <c r="E187" s="71">
        <f>E188+E190+E201+E205+E220+E226+E229+E235+E239+E243+E246+E249+E255+E189</f>
        <v>116</v>
      </c>
      <c r="F187" s="71">
        <f>F188+F190+F201+F205+F220+F226+F229+F235+F239+F243+F246+F249+F255+F189</f>
        <v>9630.656749999998</v>
      </c>
      <c r="G187" s="13"/>
      <c r="H187" s="5">
        <f aca="true" t="shared" si="18" ref="H187:H218">F187-D187</f>
        <v>-16485.33906</v>
      </c>
      <c r="I187" s="6">
        <f aca="true" t="shared" si="19" ref="I187:I218">F187/D187*100</f>
        <v>36.876467663976086</v>
      </c>
      <c r="J187" s="103"/>
      <c r="L187" s="104"/>
    </row>
    <row r="188" spans="1:12" ht="30.75" customHeight="1">
      <c r="A188" s="94"/>
      <c r="B188" s="95" t="s">
        <v>237</v>
      </c>
      <c r="C188" s="96" t="s">
        <v>90</v>
      </c>
      <c r="D188" s="71">
        <v>669.01589</v>
      </c>
      <c r="E188" s="71"/>
      <c r="F188" s="71">
        <v>121.39597</v>
      </c>
      <c r="G188" s="13"/>
      <c r="H188" s="5">
        <f t="shared" si="18"/>
        <v>-547.61992</v>
      </c>
      <c r="I188" s="6">
        <f t="shared" si="19"/>
        <v>18.145453914405532</v>
      </c>
      <c r="J188" s="58"/>
      <c r="L188" s="29"/>
    </row>
    <row r="189" spans="1:12" ht="72" customHeight="1">
      <c r="A189" s="94"/>
      <c r="B189" s="95" t="s">
        <v>230</v>
      </c>
      <c r="C189" s="96" t="s">
        <v>236</v>
      </c>
      <c r="D189" s="76">
        <v>60</v>
      </c>
      <c r="E189" s="76"/>
      <c r="F189" s="76">
        <v>0</v>
      </c>
      <c r="G189" s="101"/>
      <c r="H189" s="5">
        <f t="shared" si="18"/>
        <v>-60</v>
      </c>
      <c r="I189" s="73">
        <f t="shared" si="19"/>
        <v>0</v>
      </c>
      <c r="J189" s="58"/>
      <c r="L189" s="29"/>
    </row>
    <row r="190" spans="1:12" ht="34.5" customHeight="1">
      <c r="A190" s="97"/>
      <c r="B190" s="102" t="s">
        <v>298</v>
      </c>
      <c r="C190" s="98" t="s">
        <v>458</v>
      </c>
      <c r="D190" s="76">
        <f>D191+D193+D196+D194+D199+D192+D195+D197+D198+D200</f>
        <v>2119.49872</v>
      </c>
      <c r="E190" s="76">
        <f>E191+E193+E196+E194+E199+E192+E195+E197+E198+E200</f>
        <v>0</v>
      </c>
      <c r="F190" s="76">
        <f>F191+F193+F196+F194+F199+F192+F195+F197+F198+F200</f>
        <v>1088.18775</v>
      </c>
      <c r="G190" s="68"/>
      <c r="H190" s="68">
        <f t="shared" si="18"/>
        <v>-1031.31097</v>
      </c>
      <c r="I190" s="73">
        <f t="shared" si="19"/>
        <v>51.3417507513286</v>
      </c>
      <c r="J190" s="58"/>
      <c r="L190" s="29"/>
    </row>
    <row r="191" spans="1:12" ht="31.5">
      <c r="A191" s="97"/>
      <c r="B191" s="75" t="s">
        <v>356</v>
      </c>
      <c r="C191" s="63" t="s">
        <v>284</v>
      </c>
      <c r="D191" s="76">
        <v>1117.5</v>
      </c>
      <c r="E191" s="76"/>
      <c r="F191" s="76">
        <v>427.17478</v>
      </c>
      <c r="G191" s="68"/>
      <c r="H191" s="68">
        <f t="shared" si="18"/>
        <v>-690.32522</v>
      </c>
      <c r="I191" s="73">
        <f t="shared" si="19"/>
        <v>38.22593109619687</v>
      </c>
      <c r="J191" s="58"/>
      <c r="L191" s="29"/>
    </row>
    <row r="192" spans="1:12" ht="80.25" customHeight="1">
      <c r="A192" s="27"/>
      <c r="B192" s="75" t="s">
        <v>356</v>
      </c>
      <c r="C192" s="63" t="s">
        <v>82</v>
      </c>
      <c r="D192" s="76">
        <v>0.31044</v>
      </c>
      <c r="E192" s="76"/>
      <c r="F192" s="76">
        <v>0.31044</v>
      </c>
      <c r="G192" s="68"/>
      <c r="H192" s="68">
        <f t="shared" si="18"/>
        <v>0</v>
      </c>
      <c r="I192" s="73">
        <f t="shared" si="19"/>
        <v>100</v>
      </c>
      <c r="J192" s="58"/>
      <c r="L192" s="29"/>
    </row>
    <row r="193" spans="1:12" ht="50.25" customHeight="1">
      <c r="A193" s="27"/>
      <c r="B193" s="75" t="s">
        <v>356</v>
      </c>
      <c r="C193" s="63" t="s">
        <v>184</v>
      </c>
      <c r="D193" s="76">
        <v>38.391</v>
      </c>
      <c r="E193" s="76"/>
      <c r="F193" s="76">
        <v>38.391</v>
      </c>
      <c r="G193" s="68"/>
      <c r="H193" s="68">
        <f t="shared" si="18"/>
        <v>0</v>
      </c>
      <c r="I193" s="73">
        <f t="shared" si="19"/>
        <v>100</v>
      </c>
      <c r="J193" s="58"/>
      <c r="L193" s="29"/>
    </row>
    <row r="194" spans="1:12" ht="32.25" customHeight="1">
      <c r="A194" s="27"/>
      <c r="B194" s="75" t="s">
        <v>358</v>
      </c>
      <c r="C194" s="63" t="s">
        <v>285</v>
      </c>
      <c r="D194" s="76">
        <v>683.8</v>
      </c>
      <c r="E194" s="76"/>
      <c r="F194" s="76">
        <v>502.17525</v>
      </c>
      <c r="G194" s="68"/>
      <c r="H194" s="68">
        <f t="shared" si="18"/>
        <v>-181.62474999999995</v>
      </c>
      <c r="I194" s="73">
        <f t="shared" si="19"/>
        <v>73.43890757531443</v>
      </c>
      <c r="J194" s="58"/>
      <c r="L194" s="29"/>
    </row>
    <row r="195" spans="1:12" ht="80.25" customHeight="1">
      <c r="A195" s="27"/>
      <c r="B195" s="75" t="s">
        <v>358</v>
      </c>
      <c r="C195" s="63" t="s">
        <v>82</v>
      </c>
      <c r="D195" s="76">
        <f>79.77628+153.972</f>
        <v>233.74828000000002</v>
      </c>
      <c r="E195" s="76"/>
      <c r="F195" s="76">
        <v>79.77628</v>
      </c>
      <c r="G195" s="68"/>
      <c r="H195" s="68">
        <f t="shared" si="18"/>
        <v>-153.97200000000004</v>
      </c>
      <c r="I195" s="73">
        <f t="shared" si="19"/>
        <v>34.12914097164693</v>
      </c>
      <c r="J195" s="58"/>
      <c r="L195" s="29"/>
    </row>
    <row r="196" spans="1:12" ht="49.5" customHeight="1">
      <c r="A196" s="27"/>
      <c r="B196" s="75" t="s">
        <v>358</v>
      </c>
      <c r="C196" s="63" t="s">
        <v>454</v>
      </c>
      <c r="D196" s="76">
        <v>10</v>
      </c>
      <c r="E196" s="76"/>
      <c r="F196" s="76">
        <v>10</v>
      </c>
      <c r="G196" s="68"/>
      <c r="H196" s="68">
        <f t="shared" si="18"/>
        <v>0</v>
      </c>
      <c r="I196" s="73">
        <f t="shared" si="19"/>
        <v>100</v>
      </c>
      <c r="J196" s="58"/>
      <c r="L196" s="29"/>
    </row>
    <row r="197" spans="1:12" ht="20.25" customHeight="1">
      <c r="A197" s="27"/>
      <c r="B197" s="75" t="s">
        <v>375</v>
      </c>
      <c r="C197" s="63" t="s">
        <v>46</v>
      </c>
      <c r="D197" s="76">
        <v>9.98</v>
      </c>
      <c r="E197" s="76"/>
      <c r="F197" s="76">
        <v>9.98</v>
      </c>
      <c r="G197" s="68"/>
      <c r="H197" s="69">
        <f t="shared" si="18"/>
        <v>0</v>
      </c>
      <c r="I197" s="70">
        <f t="shared" si="19"/>
        <v>100</v>
      </c>
      <c r="J197" s="58"/>
      <c r="L197" s="29"/>
    </row>
    <row r="198" spans="1:12" ht="31.5">
      <c r="A198" s="27"/>
      <c r="B198" s="75" t="s">
        <v>376</v>
      </c>
      <c r="C198" s="63" t="s">
        <v>92</v>
      </c>
      <c r="D198" s="76">
        <v>7.04</v>
      </c>
      <c r="E198" s="76"/>
      <c r="F198" s="76">
        <v>7.04</v>
      </c>
      <c r="G198" s="68"/>
      <c r="H198" s="69">
        <f t="shared" si="18"/>
        <v>0</v>
      </c>
      <c r="I198" s="70">
        <f t="shared" si="19"/>
        <v>100</v>
      </c>
      <c r="J198" s="58"/>
      <c r="L198" s="29"/>
    </row>
    <row r="199" spans="1:12" ht="51" customHeight="1">
      <c r="A199" s="27"/>
      <c r="B199" s="66" t="s">
        <v>377</v>
      </c>
      <c r="C199" s="18" t="s">
        <v>286</v>
      </c>
      <c r="D199" s="67">
        <v>13.34</v>
      </c>
      <c r="E199" s="67"/>
      <c r="F199" s="67">
        <v>13.34</v>
      </c>
      <c r="G199" s="68"/>
      <c r="H199" s="69">
        <f t="shared" si="18"/>
        <v>0</v>
      </c>
      <c r="I199" s="70">
        <f t="shared" si="19"/>
        <v>100</v>
      </c>
      <c r="J199" s="58"/>
      <c r="L199" s="29"/>
    </row>
    <row r="200" spans="1:12" ht="31.5">
      <c r="A200" s="27"/>
      <c r="B200" s="66" t="s">
        <v>434</v>
      </c>
      <c r="C200" s="18" t="s">
        <v>108</v>
      </c>
      <c r="D200" s="67">
        <v>5.389</v>
      </c>
      <c r="E200" s="67"/>
      <c r="F200" s="67">
        <v>0</v>
      </c>
      <c r="G200" s="68"/>
      <c r="H200" s="69">
        <f t="shared" si="18"/>
        <v>-5.389</v>
      </c>
      <c r="I200" s="70">
        <f t="shared" si="19"/>
        <v>0</v>
      </c>
      <c r="J200" s="58"/>
      <c r="L200" s="29"/>
    </row>
    <row r="201" spans="1:12" ht="15.75">
      <c r="A201" s="27"/>
      <c r="B201" s="75" t="s">
        <v>83</v>
      </c>
      <c r="C201" s="74" t="s">
        <v>283</v>
      </c>
      <c r="D201" s="76">
        <f>D202+D204+D203</f>
        <v>208.95773000000003</v>
      </c>
      <c r="E201" s="76">
        <f>E202+E204+E203</f>
        <v>0</v>
      </c>
      <c r="F201" s="76">
        <f>F202+F204+F203</f>
        <v>199.56034</v>
      </c>
      <c r="G201" s="68"/>
      <c r="H201" s="69">
        <f t="shared" si="18"/>
        <v>-9.39739000000003</v>
      </c>
      <c r="I201" s="70">
        <f t="shared" si="19"/>
        <v>95.50273158116714</v>
      </c>
      <c r="J201" s="58"/>
      <c r="L201" s="29"/>
    </row>
    <row r="202" spans="1:12" ht="47.25">
      <c r="A202" s="27"/>
      <c r="B202" s="75" t="s">
        <v>365</v>
      </c>
      <c r="C202" s="74" t="s">
        <v>87</v>
      </c>
      <c r="D202" s="76">
        <v>63.32148</v>
      </c>
      <c r="E202" s="76"/>
      <c r="F202" s="76">
        <v>63.32149</v>
      </c>
      <c r="G202" s="68"/>
      <c r="H202" s="69">
        <f t="shared" si="18"/>
        <v>9.999999996068709E-06</v>
      </c>
      <c r="I202" s="70">
        <f t="shared" si="19"/>
        <v>100.00001579242937</v>
      </c>
      <c r="J202" s="58"/>
      <c r="L202" s="29"/>
    </row>
    <row r="203" spans="1:12" ht="61.5" customHeight="1">
      <c r="A203" s="27"/>
      <c r="B203" s="75" t="s">
        <v>312</v>
      </c>
      <c r="C203" s="18" t="s">
        <v>66</v>
      </c>
      <c r="D203" s="76">
        <v>9.3974</v>
      </c>
      <c r="E203" s="76"/>
      <c r="F203" s="76">
        <v>0</v>
      </c>
      <c r="G203" s="68"/>
      <c r="H203" s="68">
        <f t="shared" si="18"/>
        <v>-9.3974</v>
      </c>
      <c r="I203" s="73">
        <f t="shared" si="19"/>
        <v>0</v>
      </c>
      <c r="J203" s="58"/>
      <c r="L203" s="29"/>
    </row>
    <row r="204" spans="1:12" ht="78.75">
      <c r="A204" s="27"/>
      <c r="B204" s="75" t="s">
        <v>312</v>
      </c>
      <c r="C204" s="63" t="s">
        <v>82</v>
      </c>
      <c r="D204" s="76">
        <v>136.23885</v>
      </c>
      <c r="E204" s="76"/>
      <c r="F204" s="76">
        <v>136.23885</v>
      </c>
      <c r="G204" s="68"/>
      <c r="H204" s="68">
        <f t="shared" si="18"/>
        <v>0</v>
      </c>
      <c r="I204" s="73">
        <f t="shared" si="19"/>
        <v>100</v>
      </c>
      <c r="J204" s="58"/>
      <c r="L204" s="29"/>
    </row>
    <row r="205" spans="1:12" ht="15.75">
      <c r="A205" s="27"/>
      <c r="B205" s="64" t="s">
        <v>317</v>
      </c>
      <c r="C205" s="74" t="s">
        <v>287</v>
      </c>
      <c r="D205" s="71">
        <f>D206+D207+D208+D210+D211+D212+D213+D214+D215+D216+D218+D219+D209+D217</f>
        <v>12630.34317</v>
      </c>
      <c r="E205" s="71">
        <f>E206+E207+E208+E210+E211+E212+E213+E214+E215+E216+E218+E219+E209+E217</f>
        <v>0</v>
      </c>
      <c r="F205" s="71">
        <f>F206+F207+F208+F210+F211+F212+F213+F214+F215+F216+F218+F219+F209+F217</f>
        <v>3871.826379999999</v>
      </c>
      <c r="G205" s="71">
        <f>G206+G207+G208+G210+G211+G212+G213+G214+G215+G216+G218+G219+G209</f>
        <v>0</v>
      </c>
      <c r="H205" s="68">
        <f t="shared" si="18"/>
        <v>-8758.516790000001</v>
      </c>
      <c r="I205" s="73">
        <f t="shared" si="19"/>
        <v>30.654957889002464</v>
      </c>
      <c r="J205" s="58"/>
      <c r="L205" s="29"/>
    </row>
    <row r="206" spans="1:12" ht="63">
      <c r="A206" s="27"/>
      <c r="B206" s="48" t="s">
        <v>319</v>
      </c>
      <c r="C206" s="7" t="s">
        <v>50</v>
      </c>
      <c r="D206" s="61">
        <v>1683.175</v>
      </c>
      <c r="E206" s="13"/>
      <c r="F206" s="4">
        <v>1572.37123</v>
      </c>
      <c r="G206" s="5"/>
      <c r="H206" s="69">
        <f t="shared" si="18"/>
        <v>-110.80376999999999</v>
      </c>
      <c r="I206" s="70">
        <f t="shared" si="19"/>
        <v>93.4169786267025</v>
      </c>
      <c r="J206" s="58"/>
      <c r="L206" s="29"/>
    </row>
    <row r="207" spans="1:12" ht="69" customHeight="1">
      <c r="A207" s="27"/>
      <c r="B207" s="64" t="s">
        <v>319</v>
      </c>
      <c r="C207" s="7" t="s">
        <v>49</v>
      </c>
      <c r="D207" s="71">
        <v>12.57387</v>
      </c>
      <c r="E207" s="13"/>
      <c r="F207" s="5">
        <v>12.57387</v>
      </c>
      <c r="G207" s="5"/>
      <c r="H207" s="68">
        <f t="shared" si="18"/>
        <v>0</v>
      </c>
      <c r="I207" s="73">
        <f t="shared" si="19"/>
        <v>100</v>
      </c>
      <c r="J207" s="58"/>
      <c r="L207" s="29"/>
    </row>
    <row r="208" spans="1:12" ht="78.75">
      <c r="A208" s="27"/>
      <c r="B208" s="64" t="s">
        <v>319</v>
      </c>
      <c r="C208" s="63" t="s">
        <v>82</v>
      </c>
      <c r="D208" s="71">
        <v>467.65572</v>
      </c>
      <c r="E208" s="13"/>
      <c r="F208" s="5">
        <v>455.6981</v>
      </c>
      <c r="G208" s="5"/>
      <c r="H208" s="68">
        <f t="shared" si="18"/>
        <v>-11.957619999999963</v>
      </c>
      <c r="I208" s="73">
        <f t="shared" si="19"/>
        <v>97.44307201032419</v>
      </c>
      <c r="J208" s="58"/>
      <c r="L208" s="29"/>
    </row>
    <row r="209" spans="1:12" ht="47.25">
      <c r="A209" s="27"/>
      <c r="B209" s="64" t="s">
        <v>319</v>
      </c>
      <c r="C209" s="63" t="s">
        <v>136</v>
      </c>
      <c r="D209" s="71">
        <v>97</v>
      </c>
      <c r="E209" s="13"/>
      <c r="F209" s="5">
        <v>0</v>
      </c>
      <c r="G209" s="5"/>
      <c r="H209" s="68">
        <f t="shared" si="18"/>
        <v>-97</v>
      </c>
      <c r="I209" s="73">
        <f t="shared" si="19"/>
        <v>0</v>
      </c>
      <c r="J209" s="58"/>
      <c r="L209" s="29"/>
    </row>
    <row r="210" spans="1:12" ht="47.25">
      <c r="A210" s="27"/>
      <c r="B210" s="64" t="s">
        <v>40</v>
      </c>
      <c r="C210" s="55" t="s">
        <v>75</v>
      </c>
      <c r="D210" s="71">
        <v>363</v>
      </c>
      <c r="E210" s="13"/>
      <c r="F210" s="5">
        <v>106.9952</v>
      </c>
      <c r="G210" s="5"/>
      <c r="H210" s="68">
        <f t="shared" si="18"/>
        <v>-256.0048</v>
      </c>
      <c r="I210" s="73">
        <f t="shared" si="19"/>
        <v>29.47526170798898</v>
      </c>
      <c r="J210" s="58"/>
      <c r="L210" s="29"/>
    </row>
    <row r="211" spans="1:12" ht="47.25">
      <c r="A211" s="27"/>
      <c r="B211" s="64" t="s">
        <v>40</v>
      </c>
      <c r="C211" s="55" t="s">
        <v>91</v>
      </c>
      <c r="D211" s="71">
        <v>427.99884</v>
      </c>
      <c r="E211" s="13"/>
      <c r="F211" s="5">
        <v>285.31918</v>
      </c>
      <c r="G211" s="5"/>
      <c r="H211" s="68">
        <f t="shared" si="18"/>
        <v>-142.67965999999996</v>
      </c>
      <c r="I211" s="73">
        <f t="shared" si="19"/>
        <v>66.66354048996956</v>
      </c>
      <c r="J211" s="58"/>
      <c r="L211" s="29"/>
    </row>
    <row r="212" spans="1:12" ht="78.75">
      <c r="A212" s="27"/>
      <c r="B212" s="64" t="s">
        <v>40</v>
      </c>
      <c r="C212" s="63" t="s">
        <v>82</v>
      </c>
      <c r="D212" s="71">
        <v>424.19606</v>
      </c>
      <c r="E212" s="13"/>
      <c r="F212" s="5">
        <v>424.19606</v>
      </c>
      <c r="G212" s="5"/>
      <c r="H212" s="68">
        <f t="shared" si="18"/>
        <v>0</v>
      </c>
      <c r="I212" s="73">
        <f t="shared" si="19"/>
        <v>100</v>
      </c>
      <c r="J212" s="58"/>
      <c r="L212" s="29"/>
    </row>
    <row r="213" spans="1:12" ht="78.75">
      <c r="A213" s="27"/>
      <c r="B213" s="48" t="s">
        <v>15</v>
      </c>
      <c r="C213" s="55" t="s">
        <v>51</v>
      </c>
      <c r="D213" s="12">
        <v>736.86</v>
      </c>
      <c r="E213" s="13"/>
      <c r="F213" s="4">
        <v>213.1</v>
      </c>
      <c r="G213" s="5"/>
      <c r="H213" s="69">
        <f t="shared" si="18"/>
        <v>-523.76</v>
      </c>
      <c r="I213" s="70">
        <f t="shared" si="19"/>
        <v>28.920011942567108</v>
      </c>
      <c r="J213" s="58"/>
      <c r="L213" s="29"/>
    </row>
    <row r="214" spans="1:12" ht="47.25" customHeight="1" hidden="1">
      <c r="A214" s="27"/>
      <c r="B214" s="48" t="s">
        <v>15</v>
      </c>
      <c r="C214" s="55" t="s">
        <v>88</v>
      </c>
      <c r="D214" s="12">
        <v>0</v>
      </c>
      <c r="E214" s="13"/>
      <c r="F214" s="4"/>
      <c r="G214" s="5"/>
      <c r="H214" s="69">
        <f t="shared" si="18"/>
        <v>0</v>
      </c>
      <c r="I214" s="70" t="e">
        <f t="shared" si="19"/>
        <v>#DIV/0!</v>
      </c>
      <c r="J214" s="58"/>
      <c r="L214" s="29"/>
    </row>
    <row r="215" spans="1:12" ht="47.25">
      <c r="A215" s="27"/>
      <c r="B215" s="48" t="s">
        <v>321</v>
      </c>
      <c r="C215" s="7" t="s">
        <v>52</v>
      </c>
      <c r="D215" s="12">
        <v>272.155</v>
      </c>
      <c r="E215" s="13"/>
      <c r="F215" s="4">
        <v>93.39509</v>
      </c>
      <c r="G215" s="5"/>
      <c r="H215" s="69">
        <f t="shared" si="18"/>
        <v>-178.75991</v>
      </c>
      <c r="I215" s="70">
        <f t="shared" si="19"/>
        <v>34.316874575150194</v>
      </c>
      <c r="J215" s="58"/>
      <c r="L215" s="29"/>
    </row>
    <row r="216" spans="1:12" ht="78.75">
      <c r="A216" s="27"/>
      <c r="B216" s="64" t="s">
        <v>321</v>
      </c>
      <c r="C216" s="63" t="s">
        <v>82</v>
      </c>
      <c r="D216" s="71">
        <f>129.00614+197.81</f>
        <v>326.81614</v>
      </c>
      <c r="E216" s="13"/>
      <c r="F216" s="5">
        <v>206.51414</v>
      </c>
      <c r="G216" s="5"/>
      <c r="H216" s="68">
        <f t="shared" si="18"/>
        <v>-120.30200000000002</v>
      </c>
      <c r="I216" s="73">
        <f t="shared" si="19"/>
        <v>63.18970048419273</v>
      </c>
      <c r="J216" s="58"/>
      <c r="L216" s="29"/>
    </row>
    <row r="217" spans="1:12" ht="47.25">
      <c r="A217" s="27"/>
      <c r="B217" s="64" t="s">
        <v>321</v>
      </c>
      <c r="C217" s="63" t="s">
        <v>136</v>
      </c>
      <c r="D217" s="71">
        <v>247.35</v>
      </c>
      <c r="E217" s="13"/>
      <c r="F217" s="5">
        <v>0</v>
      </c>
      <c r="G217" s="5"/>
      <c r="H217" s="68">
        <f t="shared" si="18"/>
        <v>-247.35</v>
      </c>
      <c r="I217" s="73">
        <f t="shared" si="19"/>
        <v>0</v>
      </c>
      <c r="J217" s="58"/>
      <c r="L217" s="29"/>
    </row>
    <row r="218" spans="1:12" ht="78.75">
      <c r="A218" s="27"/>
      <c r="B218" s="64" t="s">
        <v>23</v>
      </c>
      <c r="C218" s="55" t="s">
        <v>84</v>
      </c>
      <c r="D218" s="71">
        <v>50.56254</v>
      </c>
      <c r="E218" s="13"/>
      <c r="F218" s="5">
        <v>50.56254</v>
      </c>
      <c r="G218" s="5"/>
      <c r="H218" s="68">
        <f t="shared" si="18"/>
        <v>0</v>
      </c>
      <c r="I218" s="73">
        <f t="shared" si="19"/>
        <v>100</v>
      </c>
      <c r="J218" s="58"/>
      <c r="L218" s="29"/>
    </row>
    <row r="219" spans="1:12" ht="63">
      <c r="A219" s="27"/>
      <c r="B219" s="64" t="s">
        <v>93</v>
      </c>
      <c r="C219" s="55" t="s">
        <v>94</v>
      </c>
      <c r="D219" s="71">
        <v>7521</v>
      </c>
      <c r="E219" s="13"/>
      <c r="F219" s="5">
        <v>451.10097</v>
      </c>
      <c r="G219" s="5"/>
      <c r="H219" s="68">
        <f aca="true" t="shared" si="20" ref="H219:H250">F219-D219</f>
        <v>-7069.89903</v>
      </c>
      <c r="I219" s="73">
        <f aca="true" t="shared" si="21" ref="I219:I250">F219/D219*100</f>
        <v>5.997885520542481</v>
      </c>
      <c r="J219" s="58"/>
      <c r="L219" s="29"/>
    </row>
    <row r="220" spans="1:12" ht="31.5" customHeight="1">
      <c r="A220" s="22" t="s">
        <v>328</v>
      </c>
      <c r="B220" s="72" t="s">
        <v>335</v>
      </c>
      <c r="C220" s="63" t="s">
        <v>242</v>
      </c>
      <c r="D220" s="71">
        <f>D221+D222+D225+D224+D223</f>
        <v>290.269</v>
      </c>
      <c r="E220" s="71">
        <f>E221+E222+E225+E224+E223</f>
        <v>0</v>
      </c>
      <c r="F220" s="71">
        <f>F221+F222+F225+F224+F223</f>
        <v>115.569</v>
      </c>
      <c r="G220" s="5" t="e">
        <f>F220-#REF!</f>
        <v>#REF!</v>
      </c>
      <c r="H220" s="68">
        <f t="shared" si="20"/>
        <v>-174.7</v>
      </c>
      <c r="I220" s="73">
        <f t="shared" si="21"/>
        <v>39.814447977565635</v>
      </c>
      <c r="J220" s="58"/>
      <c r="L220" s="29"/>
    </row>
    <row r="221" spans="1:12" ht="20.25" customHeight="1">
      <c r="A221" s="17" t="s">
        <v>343</v>
      </c>
      <c r="B221" s="48" t="s">
        <v>444</v>
      </c>
      <c r="C221" s="24" t="s">
        <v>243</v>
      </c>
      <c r="D221" s="12">
        <v>24.7</v>
      </c>
      <c r="E221" s="13"/>
      <c r="F221" s="4">
        <v>14.7</v>
      </c>
      <c r="G221" s="5"/>
      <c r="H221" s="69">
        <f t="shared" si="20"/>
        <v>-10</v>
      </c>
      <c r="I221" s="70">
        <f t="shared" si="21"/>
        <v>59.51417004048582</v>
      </c>
      <c r="J221" s="58"/>
      <c r="L221" s="29"/>
    </row>
    <row r="222" spans="1:12" ht="17.25" customHeight="1">
      <c r="A222" s="17" t="s">
        <v>359</v>
      </c>
      <c r="B222" s="48" t="s">
        <v>445</v>
      </c>
      <c r="C222" s="24" t="s">
        <v>244</v>
      </c>
      <c r="D222" s="12">
        <v>11.369</v>
      </c>
      <c r="E222" s="13"/>
      <c r="F222" s="4">
        <v>6.369</v>
      </c>
      <c r="G222" s="5"/>
      <c r="H222" s="69">
        <f t="shared" si="20"/>
        <v>-5</v>
      </c>
      <c r="I222" s="70">
        <f t="shared" si="21"/>
        <v>56.0207582021286</v>
      </c>
      <c r="J222" s="58"/>
      <c r="L222" s="29"/>
    </row>
    <row r="223" spans="1:12" ht="36" customHeight="1">
      <c r="A223" s="17"/>
      <c r="B223" s="48" t="s">
        <v>446</v>
      </c>
      <c r="C223" s="24" t="s">
        <v>205</v>
      </c>
      <c r="D223" s="12">
        <v>239.2</v>
      </c>
      <c r="E223" s="13"/>
      <c r="F223" s="4">
        <v>85.854</v>
      </c>
      <c r="G223" s="5"/>
      <c r="H223" s="69">
        <f t="shared" si="20"/>
        <v>-153.346</v>
      </c>
      <c r="I223" s="70">
        <f t="shared" si="21"/>
        <v>35.892140468227424</v>
      </c>
      <c r="J223" s="58"/>
      <c r="L223" s="29"/>
    </row>
    <row r="224" spans="1:12" ht="56.25" customHeight="1">
      <c r="A224" s="17"/>
      <c r="B224" s="48" t="s">
        <v>424</v>
      </c>
      <c r="C224" s="24" t="s">
        <v>245</v>
      </c>
      <c r="D224" s="12">
        <v>5</v>
      </c>
      <c r="E224" s="13"/>
      <c r="F224" s="4">
        <v>5</v>
      </c>
      <c r="G224" s="5"/>
      <c r="H224" s="69">
        <f t="shared" si="20"/>
        <v>0</v>
      </c>
      <c r="I224" s="70">
        <f t="shared" si="21"/>
        <v>100</v>
      </c>
      <c r="J224" s="58"/>
      <c r="L224" s="29"/>
    </row>
    <row r="225" spans="1:12" ht="31.5" customHeight="1">
      <c r="A225" s="17" t="s">
        <v>359</v>
      </c>
      <c r="B225" s="48" t="s">
        <v>424</v>
      </c>
      <c r="C225" s="24" t="s">
        <v>246</v>
      </c>
      <c r="D225" s="12">
        <v>10</v>
      </c>
      <c r="E225" s="13"/>
      <c r="F225" s="4">
        <v>3.646</v>
      </c>
      <c r="G225" s="5"/>
      <c r="H225" s="69">
        <f t="shared" si="20"/>
        <v>-6.354</v>
      </c>
      <c r="I225" s="70">
        <f t="shared" si="21"/>
        <v>36.46</v>
      </c>
      <c r="J225" s="58"/>
      <c r="L225" s="29"/>
    </row>
    <row r="226" spans="1:12" ht="15.75">
      <c r="A226" s="17"/>
      <c r="B226" s="64" t="s">
        <v>324</v>
      </c>
      <c r="C226" s="55" t="s">
        <v>247</v>
      </c>
      <c r="D226" s="71">
        <f>D227+D228</f>
        <v>93.123</v>
      </c>
      <c r="E226" s="71">
        <f>E227+E228</f>
        <v>0</v>
      </c>
      <c r="F226" s="71">
        <f>F227+F228</f>
        <v>4.17089</v>
      </c>
      <c r="G226" s="71">
        <f>G227+G228</f>
        <v>0</v>
      </c>
      <c r="H226" s="68">
        <f t="shared" si="20"/>
        <v>-88.95211</v>
      </c>
      <c r="I226" s="73">
        <f t="shared" si="21"/>
        <v>4.47890424492338</v>
      </c>
      <c r="J226" s="58"/>
      <c r="L226" s="29"/>
    </row>
    <row r="227" spans="1:12" ht="55.5" customHeight="1" hidden="1">
      <c r="A227" s="17"/>
      <c r="B227" s="64" t="s">
        <v>325</v>
      </c>
      <c r="C227" s="87" t="s">
        <v>248</v>
      </c>
      <c r="D227" s="71">
        <v>0</v>
      </c>
      <c r="E227" s="13"/>
      <c r="F227" s="5">
        <v>0</v>
      </c>
      <c r="G227" s="5"/>
      <c r="H227" s="68">
        <f t="shared" si="20"/>
        <v>0</v>
      </c>
      <c r="I227" s="73" t="e">
        <f t="shared" si="21"/>
        <v>#DIV/0!</v>
      </c>
      <c r="J227" s="58"/>
      <c r="L227" s="29"/>
    </row>
    <row r="228" spans="1:12" ht="81.75" customHeight="1">
      <c r="A228" s="17"/>
      <c r="B228" s="64" t="s">
        <v>325</v>
      </c>
      <c r="C228" s="63" t="s">
        <v>82</v>
      </c>
      <c r="D228" s="71">
        <v>93.123</v>
      </c>
      <c r="E228" s="13"/>
      <c r="F228" s="5">
        <v>4.17089</v>
      </c>
      <c r="G228" s="5"/>
      <c r="H228" s="68">
        <f t="shared" si="20"/>
        <v>-88.95211</v>
      </c>
      <c r="I228" s="73">
        <f t="shared" si="21"/>
        <v>4.47890424492338</v>
      </c>
      <c r="J228" s="58"/>
      <c r="L228" s="29"/>
    </row>
    <row r="229" spans="1:12" ht="15.75">
      <c r="A229" s="17"/>
      <c r="B229" s="64" t="s">
        <v>180</v>
      </c>
      <c r="C229" s="55" t="s">
        <v>249</v>
      </c>
      <c r="D229" s="6">
        <f>D230+D231+D234+D232+D233</f>
        <v>6061.86986</v>
      </c>
      <c r="E229" s="6">
        <f>E230+E231+E234+E232+E233</f>
        <v>0</v>
      </c>
      <c r="F229" s="6">
        <f>F230+F231+F234+F232+F233</f>
        <v>2141.6864800000003</v>
      </c>
      <c r="G229" s="5">
        <f>F229-L221</f>
        <v>2141.6864800000003</v>
      </c>
      <c r="H229" s="68">
        <f t="shared" si="20"/>
        <v>-3920.1833799999995</v>
      </c>
      <c r="I229" s="73">
        <f t="shared" si="21"/>
        <v>35.33045956879055</v>
      </c>
      <c r="J229" s="58"/>
      <c r="L229" s="29"/>
    </row>
    <row r="230" spans="1:12" ht="57.75" customHeight="1">
      <c r="A230" s="17"/>
      <c r="B230" s="64" t="s">
        <v>421</v>
      </c>
      <c r="C230" s="55" t="s">
        <v>53</v>
      </c>
      <c r="D230" s="6">
        <f>454.714+1121.37986</f>
        <v>1576.09386</v>
      </c>
      <c r="E230" s="6"/>
      <c r="F230" s="5">
        <f>550.38315+118.214</f>
        <v>668.59715</v>
      </c>
      <c r="G230" s="5"/>
      <c r="H230" s="68">
        <f t="shared" si="20"/>
        <v>-907.4967099999999</v>
      </c>
      <c r="I230" s="73">
        <f t="shared" si="21"/>
        <v>42.42115060330227</v>
      </c>
      <c r="J230" s="58"/>
      <c r="L230" s="29"/>
    </row>
    <row r="231" spans="1:12" ht="53.25" customHeight="1">
      <c r="A231" s="17"/>
      <c r="B231" s="64" t="s">
        <v>421</v>
      </c>
      <c r="C231" s="55" t="s">
        <v>54</v>
      </c>
      <c r="D231" s="6">
        <f>320+100.85</f>
        <v>420.85</v>
      </c>
      <c r="E231" s="6"/>
      <c r="F231" s="5">
        <f>319.669+74.38033</f>
        <v>394.04933</v>
      </c>
      <c r="G231" s="5"/>
      <c r="H231" s="68">
        <f t="shared" si="20"/>
        <v>-26.800670000000025</v>
      </c>
      <c r="I231" s="73">
        <f t="shared" si="21"/>
        <v>93.6317761672805</v>
      </c>
      <c r="J231" s="58"/>
      <c r="L231" s="29"/>
    </row>
    <row r="232" spans="1:12" ht="84.75" customHeight="1">
      <c r="A232" s="17"/>
      <c r="B232" s="64" t="s">
        <v>421</v>
      </c>
      <c r="C232" s="63" t="s">
        <v>82</v>
      </c>
      <c r="D232" s="6">
        <v>4000.3</v>
      </c>
      <c r="E232" s="6"/>
      <c r="F232" s="5">
        <v>1079.04</v>
      </c>
      <c r="G232" s="5"/>
      <c r="H232" s="68">
        <f t="shared" si="20"/>
        <v>-2921.26</v>
      </c>
      <c r="I232" s="73">
        <f t="shared" si="21"/>
        <v>26.973976951728616</v>
      </c>
      <c r="J232" s="58"/>
      <c r="L232" s="29"/>
    </row>
    <row r="233" spans="1:12" ht="47.25">
      <c r="A233" s="17"/>
      <c r="B233" s="64" t="s">
        <v>421</v>
      </c>
      <c r="C233" s="63" t="s">
        <v>136</v>
      </c>
      <c r="D233" s="6">
        <v>64</v>
      </c>
      <c r="E233" s="6"/>
      <c r="F233" s="5">
        <v>0</v>
      </c>
      <c r="G233" s="5"/>
      <c r="H233" s="68">
        <f t="shared" si="20"/>
        <v>-64</v>
      </c>
      <c r="I233" s="73">
        <f t="shared" si="21"/>
        <v>0</v>
      </c>
      <c r="J233" s="58"/>
      <c r="L233" s="29"/>
    </row>
    <row r="234" spans="1:12" ht="60" customHeight="1">
      <c r="A234" s="17"/>
      <c r="B234" s="64" t="s">
        <v>206</v>
      </c>
      <c r="C234" s="55" t="s">
        <v>53</v>
      </c>
      <c r="D234" s="6">
        <v>0.626</v>
      </c>
      <c r="E234" s="6"/>
      <c r="F234" s="5">
        <v>0</v>
      </c>
      <c r="G234" s="5"/>
      <c r="H234" s="68">
        <f t="shared" si="20"/>
        <v>-0.626</v>
      </c>
      <c r="I234" s="73">
        <f t="shared" si="21"/>
        <v>0</v>
      </c>
      <c r="J234" s="58"/>
      <c r="L234" s="29"/>
    </row>
    <row r="235" spans="1:12" ht="47.25">
      <c r="A235" s="17"/>
      <c r="B235" s="64" t="s">
        <v>334</v>
      </c>
      <c r="C235" s="55" t="s">
        <v>55</v>
      </c>
      <c r="D235" s="6">
        <f>D236+D237+D238</f>
        <v>2463.8857000000003</v>
      </c>
      <c r="E235" s="6">
        <f>E236+E237+E238</f>
        <v>106</v>
      </c>
      <c r="F235" s="6">
        <f>F236+F237+F238</f>
        <v>986.3487400000001</v>
      </c>
      <c r="G235" s="5"/>
      <c r="H235" s="68">
        <f t="shared" si="20"/>
        <v>-1477.5369600000001</v>
      </c>
      <c r="I235" s="73">
        <f t="shared" si="21"/>
        <v>40.03224419054829</v>
      </c>
      <c r="J235" s="58"/>
      <c r="L235" s="29"/>
    </row>
    <row r="236" spans="1:12" ht="54.75" customHeight="1">
      <c r="A236" s="17"/>
      <c r="B236" s="64" t="s">
        <v>334</v>
      </c>
      <c r="C236" s="55" t="s">
        <v>405</v>
      </c>
      <c r="D236" s="6">
        <v>1676.428</v>
      </c>
      <c r="E236" s="6"/>
      <c r="F236" s="5">
        <v>647.58166</v>
      </c>
      <c r="G236" s="5"/>
      <c r="H236" s="68">
        <f t="shared" si="20"/>
        <v>-1028.84634</v>
      </c>
      <c r="I236" s="73">
        <f t="shared" si="21"/>
        <v>38.62865926839685</v>
      </c>
      <c r="J236" s="58"/>
      <c r="L236" s="29"/>
    </row>
    <row r="237" spans="1:12" ht="47.25">
      <c r="A237" s="17"/>
      <c r="B237" s="64" t="s">
        <v>334</v>
      </c>
      <c r="C237" s="55" t="s">
        <v>406</v>
      </c>
      <c r="D237" s="6">
        <v>693.454</v>
      </c>
      <c r="E237" s="6"/>
      <c r="F237" s="5">
        <v>262.6521</v>
      </c>
      <c r="G237" s="5"/>
      <c r="H237" s="68">
        <f t="shared" si="20"/>
        <v>-430.80189999999993</v>
      </c>
      <c r="I237" s="73">
        <f t="shared" si="21"/>
        <v>37.87592255578597</v>
      </c>
      <c r="J237" s="58"/>
      <c r="L237" s="29"/>
    </row>
    <row r="238" spans="1:12" ht="71.25" customHeight="1">
      <c r="A238" s="17"/>
      <c r="B238" s="64" t="s">
        <v>334</v>
      </c>
      <c r="C238" s="55" t="s">
        <v>36</v>
      </c>
      <c r="D238" s="6">
        <v>94.0037</v>
      </c>
      <c r="E238" s="6">
        <v>106</v>
      </c>
      <c r="F238" s="5">
        <v>76.11498</v>
      </c>
      <c r="G238" s="5" t="e">
        <f>F238-#REF!</f>
        <v>#REF!</v>
      </c>
      <c r="H238" s="68">
        <f t="shared" si="20"/>
        <v>-17.888719999999992</v>
      </c>
      <c r="I238" s="73">
        <f t="shared" si="21"/>
        <v>80.97019585399299</v>
      </c>
      <c r="J238" s="58"/>
      <c r="L238" s="29"/>
    </row>
    <row r="239" spans="1:12" ht="31.5">
      <c r="A239" s="17"/>
      <c r="B239" s="64" t="s">
        <v>43</v>
      </c>
      <c r="C239" s="63" t="s">
        <v>197</v>
      </c>
      <c r="D239" s="6">
        <f>D240+D241+D242</f>
        <v>577.13947</v>
      </c>
      <c r="E239" s="6">
        <f>E240+E241+E242</f>
        <v>0</v>
      </c>
      <c r="F239" s="6">
        <f>F240+F241+F242</f>
        <v>498.24347</v>
      </c>
      <c r="G239" s="5"/>
      <c r="H239" s="68">
        <f t="shared" si="20"/>
        <v>-78.89599999999996</v>
      </c>
      <c r="I239" s="73">
        <f t="shared" si="21"/>
        <v>86.32982076238869</v>
      </c>
      <c r="J239" s="58"/>
      <c r="L239" s="29"/>
    </row>
    <row r="240" spans="1:12" ht="88.5" customHeight="1">
      <c r="A240" s="17"/>
      <c r="B240" s="48" t="s">
        <v>435</v>
      </c>
      <c r="C240" s="7" t="s">
        <v>67</v>
      </c>
      <c r="D240" s="1">
        <v>203.47</v>
      </c>
      <c r="E240" s="6"/>
      <c r="F240" s="4">
        <v>129.47</v>
      </c>
      <c r="G240" s="5"/>
      <c r="H240" s="69">
        <f t="shared" si="20"/>
        <v>-74</v>
      </c>
      <c r="I240" s="70">
        <f t="shared" si="21"/>
        <v>63.63100211333366</v>
      </c>
      <c r="J240" s="58"/>
      <c r="L240" s="29"/>
    </row>
    <row r="241" spans="1:12" ht="47.25" hidden="1">
      <c r="A241" s="17"/>
      <c r="B241" s="48" t="s">
        <v>435</v>
      </c>
      <c r="C241" s="63" t="s">
        <v>69</v>
      </c>
      <c r="D241" s="1">
        <v>0</v>
      </c>
      <c r="E241" s="6"/>
      <c r="F241" s="4"/>
      <c r="G241" s="5"/>
      <c r="H241" s="69">
        <f t="shared" si="20"/>
        <v>0</v>
      </c>
      <c r="I241" s="70" t="e">
        <f t="shared" si="21"/>
        <v>#DIV/0!</v>
      </c>
      <c r="J241" s="58"/>
      <c r="L241" s="29"/>
    </row>
    <row r="242" spans="1:12" ht="47.25">
      <c r="A242" s="17"/>
      <c r="B242" s="48" t="s">
        <v>435</v>
      </c>
      <c r="C242" s="65" t="s">
        <v>73</v>
      </c>
      <c r="D242" s="1">
        <f>320.66947+53</f>
        <v>373.66947</v>
      </c>
      <c r="E242" s="6"/>
      <c r="F242" s="4">
        <v>368.77347</v>
      </c>
      <c r="G242" s="5"/>
      <c r="H242" s="69">
        <f t="shared" si="20"/>
        <v>-4.896000000000015</v>
      </c>
      <c r="I242" s="70">
        <f t="shared" si="21"/>
        <v>98.68975113219712</v>
      </c>
      <c r="J242" s="58"/>
      <c r="L242" s="29"/>
    </row>
    <row r="243" spans="1:12" ht="31.5">
      <c r="A243" s="17"/>
      <c r="B243" s="72" t="s">
        <v>465</v>
      </c>
      <c r="C243" s="55" t="s">
        <v>250</v>
      </c>
      <c r="D243" s="6">
        <f>D244+D245</f>
        <v>25</v>
      </c>
      <c r="E243" s="6">
        <f>E244+E245</f>
        <v>0</v>
      </c>
      <c r="F243" s="6">
        <f>F244+F245</f>
        <v>0</v>
      </c>
      <c r="G243" s="5"/>
      <c r="H243" s="68">
        <f t="shared" si="20"/>
        <v>-25</v>
      </c>
      <c r="I243" s="73">
        <f t="shared" si="21"/>
        <v>0</v>
      </c>
      <c r="J243" s="58"/>
      <c r="L243" s="29"/>
    </row>
    <row r="244" spans="1:12" ht="69" customHeight="1">
      <c r="A244" s="17"/>
      <c r="B244" s="72" t="s">
        <v>347</v>
      </c>
      <c r="C244" s="55" t="s">
        <v>252</v>
      </c>
      <c r="D244" s="6">
        <v>21.5</v>
      </c>
      <c r="E244" s="6"/>
      <c r="F244" s="6">
        <v>0</v>
      </c>
      <c r="G244" s="5"/>
      <c r="H244" s="68">
        <f t="shared" si="20"/>
        <v>-21.5</v>
      </c>
      <c r="I244" s="73">
        <f t="shared" si="21"/>
        <v>0</v>
      </c>
      <c r="J244" s="58"/>
      <c r="L244" s="29"/>
    </row>
    <row r="245" spans="1:12" ht="31.5">
      <c r="A245" s="17"/>
      <c r="B245" s="72" t="s">
        <v>339</v>
      </c>
      <c r="C245" s="55" t="s">
        <v>189</v>
      </c>
      <c r="D245" s="6">
        <v>3.5</v>
      </c>
      <c r="E245" s="6"/>
      <c r="F245" s="6">
        <v>0</v>
      </c>
      <c r="G245" s="5"/>
      <c r="H245" s="68">
        <f t="shared" si="20"/>
        <v>-3.5</v>
      </c>
      <c r="I245" s="73">
        <f t="shared" si="21"/>
        <v>0</v>
      </c>
      <c r="J245" s="58"/>
      <c r="L245" s="29"/>
    </row>
    <row r="246" spans="1:12" ht="31.5">
      <c r="A246" s="17"/>
      <c r="B246" s="72" t="s">
        <v>71</v>
      </c>
      <c r="C246" s="55" t="s">
        <v>253</v>
      </c>
      <c r="D246" s="6">
        <f>D247+D248</f>
        <v>220.03186</v>
      </c>
      <c r="E246" s="6">
        <f>E247+E248</f>
        <v>10</v>
      </c>
      <c r="F246" s="6">
        <f>F247+F248</f>
        <v>111.88144</v>
      </c>
      <c r="G246" s="5"/>
      <c r="H246" s="68">
        <f t="shared" si="20"/>
        <v>-108.15042</v>
      </c>
      <c r="I246" s="73">
        <f t="shared" si="21"/>
        <v>50.84783630879637</v>
      </c>
      <c r="J246" s="58"/>
      <c r="L246" s="29"/>
    </row>
    <row r="247" spans="1:12" ht="69.75" customHeight="1">
      <c r="A247" s="17"/>
      <c r="B247" s="49" t="s">
        <v>438</v>
      </c>
      <c r="C247" s="7" t="s">
        <v>37</v>
      </c>
      <c r="D247" s="1">
        <v>220.03186</v>
      </c>
      <c r="E247" s="6">
        <v>10</v>
      </c>
      <c r="F247" s="1">
        <v>111.88144</v>
      </c>
      <c r="G247" s="5" t="e">
        <f>F247-#REF!</f>
        <v>#REF!</v>
      </c>
      <c r="H247" s="69">
        <f t="shared" si="20"/>
        <v>-108.15042</v>
      </c>
      <c r="I247" s="70">
        <f t="shared" si="21"/>
        <v>50.84783630879637</v>
      </c>
      <c r="J247" s="58"/>
      <c r="L247" s="29"/>
    </row>
    <row r="248" spans="1:12" ht="63" hidden="1">
      <c r="A248" s="17"/>
      <c r="B248" s="49" t="s">
        <v>70</v>
      </c>
      <c r="C248" s="7" t="s">
        <v>37</v>
      </c>
      <c r="D248" s="1">
        <v>0</v>
      </c>
      <c r="E248" s="6"/>
      <c r="F248" s="1"/>
      <c r="G248" s="5"/>
      <c r="H248" s="69">
        <f t="shared" si="20"/>
        <v>0</v>
      </c>
      <c r="I248" s="70" t="e">
        <f t="shared" si="21"/>
        <v>#DIV/0!</v>
      </c>
      <c r="J248" s="58"/>
      <c r="L248" s="29"/>
    </row>
    <row r="249" spans="1:12" ht="15.75">
      <c r="A249" s="17"/>
      <c r="B249" s="72" t="s">
        <v>479</v>
      </c>
      <c r="C249" s="55" t="s">
        <v>254</v>
      </c>
      <c r="D249" s="6">
        <f>D250+D254+D251+D253+D252</f>
        <v>225.90541</v>
      </c>
      <c r="E249" s="6">
        <f>E250+E254+E251+E253+E252</f>
        <v>0</v>
      </c>
      <c r="F249" s="6">
        <f>F250+F254+F251+F253+F252</f>
        <v>212.24041</v>
      </c>
      <c r="G249" s="5"/>
      <c r="H249" s="68">
        <f t="shared" si="20"/>
        <v>-13.664999999999992</v>
      </c>
      <c r="I249" s="73">
        <f t="shared" si="21"/>
        <v>93.95100807900086</v>
      </c>
      <c r="J249" s="58"/>
      <c r="L249" s="29"/>
    </row>
    <row r="250" spans="1:12" ht="47.25">
      <c r="A250" s="17"/>
      <c r="B250" s="49" t="s">
        <v>479</v>
      </c>
      <c r="C250" s="7" t="s">
        <v>255</v>
      </c>
      <c r="D250" s="1">
        <v>130.05701</v>
      </c>
      <c r="E250" s="6"/>
      <c r="F250" s="1">
        <v>130.05701</v>
      </c>
      <c r="G250" s="5"/>
      <c r="H250" s="69">
        <f t="shared" si="20"/>
        <v>0</v>
      </c>
      <c r="I250" s="70">
        <f t="shared" si="21"/>
        <v>100</v>
      </c>
      <c r="J250" s="58"/>
      <c r="L250" s="29"/>
    </row>
    <row r="251" spans="1:12" ht="31.5">
      <c r="A251" s="17"/>
      <c r="B251" s="49" t="s">
        <v>479</v>
      </c>
      <c r="C251" s="7" t="s">
        <v>256</v>
      </c>
      <c r="D251" s="1">
        <v>11.9484</v>
      </c>
      <c r="E251" s="6"/>
      <c r="F251" s="1">
        <v>11.9484</v>
      </c>
      <c r="G251" s="5"/>
      <c r="H251" s="69">
        <f aca="true" t="shared" si="22" ref="H251:H283">F251-D251</f>
        <v>0</v>
      </c>
      <c r="I251" s="70">
        <f aca="true" t="shared" si="23" ref="I251:I283">F251/D251*100</f>
        <v>100</v>
      </c>
      <c r="J251" s="58"/>
      <c r="L251" s="29"/>
    </row>
    <row r="252" spans="1:12" ht="31.5">
      <c r="A252" s="17"/>
      <c r="B252" s="49" t="s">
        <v>479</v>
      </c>
      <c r="C252" s="7" t="s">
        <v>190</v>
      </c>
      <c r="D252" s="1">
        <v>32.9</v>
      </c>
      <c r="E252" s="6"/>
      <c r="F252" s="1">
        <v>32.9</v>
      </c>
      <c r="G252" s="5"/>
      <c r="H252" s="69">
        <f t="shared" si="22"/>
        <v>0</v>
      </c>
      <c r="I252" s="70">
        <f t="shared" si="23"/>
        <v>100</v>
      </c>
      <c r="J252" s="58"/>
      <c r="L252" s="29"/>
    </row>
    <row r="253" spans="1:12" ht="31.5">
      <c r="A253" s="17"/>
      <c r="B253" s="49" t="s">
        <v>479</v>
      </c>
      <c r="C253" s="7" t="s">
        <v>257</v>
      </c>
      <c r="D253" s="1">
        <v>51</v>
      </c>
      <c r="E253" s="6"/>
      <c r="F253" s="1">
        <v>37.335</v>
      </c>
      <c r="G253" s="5"/>
      <c r="H253" s="69">
        <f t="shared" si="22"/>
        <v>-13.665</v>
      </c>
      <c r="I253" s="70">
        <f t="shared" si="23"/>
        <v>73.20588235294117</v>
      </c>
      <c r="J253" s="58"/>
      <c r="L253" s="29"/>
    </row>
    <row r="254" spans="1:12" ht="31.5" hidden="1">
      <c r="A254" s="17"/>
      <c r="B254" s="49" t="s">
        <v>479</v>
      </c>
      <c r="C254" s="7" t="s">
        <v>258</v>
      </c>
      <c r="D254" s="1"/>
      <c r="E254" s="6"/>
      <c r="F254" s="1"/>
      <c r="G254" s="5"/>
      <c r="H254" s="69">
        <f t="shared" si="22"/>
        <v>0</v>
      </c>
      <c r="I254" s="70" t="e">
        <f t="shared" si="23"/>
        <v>#DIV/0!</v>
      </c>
      <c r="J254" s="58"/>
      <c r="L254" s="29"/>
    </row>
    <row r="255" spans="1:12" ht="15.75">
      <c r="A255" s="17"/>
      <c r="B255" s="72" t="s">
        <v>466</v>
      </c>
      <c r="C255" s="55" t="s">
        <v>259</v>
      </c>
      <c r="D255" s="6">
        <f>D256+D264+D257+D260+D261+D263+D258+D259+D262</f>
        <v>470.9560000000004</v>
      </c>
      <c r="E255" s="6">
        <f>E256+E264+E257+E260+E261+E263+E258+E259+E262</f>
        <v>0</v>
      </c>
      <c r="F255" s="6">
        <f>F256+F264+F257+F260+F261+F263+F258+F259+F262</f>
        <v>279.54588</v>
      </c>
      <c r="G255" s="5"/>
      <c r="H255" s="68">
        <f t="shared" si="22"/>
        <v>-191.4101200000004</v>
      </c>
      <c r="I255" s="73">
        <f t="shared" si="23"/>
        <v>59.35711191703679</v>
      </c>
      <c r="J255" s="58"/>
      <c r="L255" s="29"/>
    </row>
    <row r="256" spans="1:12" ht="63">
      <c r="A256" s="17" t="s">
        <v>318</v>
      </c>
      <c r="B256" s="48" t="s">
        <v>467</v>
      </c>
      <c r="C256" s="3" t="s">
        <v>191</v>
      </c>
      <c r="D256" s="12">
        <v>250</v>
      </c>
      <c r="E256" s="13"/>
      <c r="F256" s="4">
        <v>250</v>
      </c>
      <c r="G256" s="5"/>
      <c r="H256" s="69">
        <f t="shared" si="22"/>
        <v>0</v>
      </c>
      <c r="I256" s="70">
        <f t="shared" si="23"/>
        <v>100</v>
      </c>
      <c r="J256" s="58"/>
      <c r="L256" s="29"/>
    </row>
    <row r="257" spans="1:12" ht="83.25" customHeight="1">
      <c r="A257" s="22"/>
      <c r="B257" s="49" t="s">
        <v>467</v>
      </c>
      <c r="C257" s="3" t="s">
        <v>188</v>
      </c>
      <c r="D257" s="1">
        <v>110</v>
      </c>
      <c r="E257" s="6"/>
      <c r="F257" s="1">
        <v>0</v>
      </c>
      <c r="G257" s="5"/>
      <c r="H257" s="69">
        <f t="shared" si="22"/>
        <v>-110</v>
      </c>
      <c r="I257" s="70">
        <f t="shared" si="23"/>
        <v>0</v>
      </c>
      <c r="J257" s="2"/>
      <c r="L257" s="40"/>
    </row>
    <row r="258" spans="1:12" ht="63" hidden="1">
      <c r="A258" s="22"/>
      <c r="B258" s="49" t="s">
        <v>467</v>
      </c>
      <c r="C258" s="3" t="s">
        <v>279</v>
      </c>
      <c r="D258" s="1">
        <v>0</v>
      </c>
      <c r="E258" s="6"/>
      <c r="F258" s="1">
        <v>0</v>
      </c>
      <c r="G258" s="5"/>
      <c r="H258" s="69">
        <f t="shared" si="22"/>
        <v>0</v>
      </c>
      <c r="I258" s="70" t="e">
        <f t="shared" si="23"/>
        <v>#DIV/0!</v>
      </c>
      <c r="J258" s="2"/>
      <c r="L258" s="40"/>
    </row>
    <row r="259" spans="1:12" ht="83.25" customHeight="1">
      <c r="A259" s="22"/>
      <c r="B259" s="49" t="s">
        <v>467</v>
      </c>
      <c r="C259" s="3" t="s">
        <v>185</v>
      </c>
      <c r="D259" s="1">
        <v>69.1</v>
      </c>
      <c r="E259" s="6"/>
      <c r="F259" s="1">
        <v>5.4</v>
      </c>
      <c r="G259" s="5"/>
      <c r="H259" s="69">
        <f t="shared" si="22"/>
        <v>-63.699999999999996</v>
      </c>
      <c r="I259" s="70">
        <f t="shared" si="23"/>
        <v>7.814761215629523</v>
      </c>
      <c r="J259" s="2"/>
      <c r="L259" s="40"/>
    </row>
    <row r="260" spans="1:12" ht="78.75">
      <c r="A260" s="22"/>
      <c r="B260" s="49" t="s">
        <v>467</v>
      </c>
      <c r="C260" s="55" t="s">
        <v>274</v>
      </c>
      <c r="D260" s="1">
        <v>3.69</v>
      </c>
      <c r="E260" s="6"/>
      <c r="F260" s="1">
        <v>3.69</v>
      </c>
      <c r="G260" s="5"/>
      <c r="H260" s="69">
        <f t="shared" si="22"/>
        <v>0</v>
      </c>
      <c r="I260" s="70">
        <f t="shared" si="23"/>
        <v>100</v>
      </c>
      <c r="J260" s="2"/>
      <c r="L260" s="40"/>
    </row>
    <row r="261" spans="1:12" ht="78.75">
      <c r="A261" s="22"/>
      <c r="B261" s="49" t="s">
        <v>467</v>
      </c>
      <c r="C261" s="55" t="s">
        <v>275</v>
      </c>
      <c r="D261" s="1">
        <v>14</v>
      </c>
      <c r="E261" s="6"/>
      <c r="F261" s="1">
        <v>0</v>
      </c>
      <c r="G261" s="5"/>
      <c r="H261" s="69">
        <f t="shared" si="22"/>
        <v>-14</v>
      </c>
      <c r="I261" s="70">
        <f t="shared" si="23"/>
        <v>0</v>
      </c>
      <c r="J261" s="2"/>
      <c r="L261" s="40"/>
    </row>
    <row r="262" spans="1:12" ht="63">
      <c r="A262" s="22"/>
      <c r="B262" s="49" t="s">
        <v>467</v>
      </c>
      <c r="C262" s="7" t="s">
        <v>228</v>
      </c>
      <c r="D262" s="1">
        <v>5.166</v>
      </c>
      <c r="E262" s="6"/>
      <c r="F262" s="1">
        <v>5.16588</v>
      </c>
      <c r="G262" s="5"/>
      <c r="H262" s="69">
        <f>F262-D262</f>
        <v>-0.00012000000000078614</v>
      </c>
      <c r="I262" s="70">
        <f>F262/D262*100</f>
        <v>99.99767711962832</v>
      </c>
      <c r="J262" s="2"/>
      <c r="L262" s="40"/>
    </row>
    <row r="263" spans="1:12" ht="78" customHeight="1">
      <c r="A263" s="22"/>
      <c r="B263" s="49" t="s">
        <v>467</v>
      </c>
      <c r="C263" s="47" t="s">
        <v>186</v>
      </c>
      <c r="D263" s="1">
        <v>19</v>
      </c>
      <c r="E263" s="6"/>
      <c r="F263" s="1">
        <v>15.29</v>
      </c>
      <c r="G263" s="5"/>
      <c r="H263" s="69">
        <f t="shared" si="22"/>
        <v>-3.710000000000001</v>
      </c>
      <c r="I263" s="70">
        <f t="shared" si="23"/>
        <v>80.47368421052632</v>
      </c>
      <c r="J263" s="2"/>
      <c r="L263" s="40"/>
    </row>
    <row r="264" spans="1:12" ht="63" hidden="1">
      <c r="A264" s="22" t="s">
        <v>308</v>
      </c>
      <c r="B264" s="72" t="s">
        <v>72</v>
      </c>
      <c r="C264" s="74" t="s">
        <v>74</v>
      </c>
      <c r="D264" s="6">
        <f>4444.8-4246.99-197.81</f>
        <v>3.979039320256561E-13</v>
      </c>
      <c r="E264" s="6"/>
      <c r="F264" s="6">
        <v>0</v>
      </c>
      <c r="G264" s="5"/>
      <c r="H264" s="68">
        <f t="shared" si="22"/>
        <v>-3.979039320256561E-13</v>
      </c>
      <c r="I264" s="73">
        <f t="shared" si="23"/>
        <v>0</v>
      </c>
      <c r="J264" s="2"/>
      <c r="L264" s="40"/>
    </row>
    <row r="265" spans="1:12" s="28" customFormat="1" ht="15.75">
      <c r="A265" s="91"/>
      <c r="B265" s="91"/>
      <c r="C265" s="80" t="s">
        <v>474</v>
      </c>
      <c r="D265" s="71">
        <f>D267+D269+D275+D278+D282</f>
        <v>4099.778950000001</v>
      </c>
      <c r="E265" s="71">
        <f>E267+E269+E275+E278+E282</f>
        <v>19</v>
      </c>
      <c r="F265" s="71">
        <f>F267+F269+F275+F278+F282</f>
        <v>2284.0833099999995</v>
      </c>
      <c r="G265" s="71" t="e">
        <f>#REF!+#REF!+#REF!+#REF!+#REF!+#REF!+#REF!+#REF!</f>
        <v>#REF!</v>
      </c>
      <c r="H265" s="68">
        <f t="shared" si="22"/>
        <v>-1815.6956400000013</v>
      </c>
      <c r="I265" s="73">
        <f t="shared" si="23"/>
        <v>55.71235273550539</v>
      </c>
      <c r="J265" s="59"/>
      <c r="L265" s="105"/>
    </row>
    <row r="266" spans="1:12" ht="15.75" hidden="1">
      <c r="A266" s="27" t="s">
        <v>295</v>
      </c>
      <c r="B266" s="64" t="s">
        <v>296</v>
      </c>
      <c r="C266" s="80" t="s">
        <v>392</v>
      </c>
      <c r="D266" s="71"/>
      <c r="E266" s="71"/>
      <c r="F266" s="71"/>
      <c r="G266" s="71"/>
      <c r="H266" s="68">
        <f t="shared" si="22"/>
        <v>0</v>
      </c>
      <c r="I266" s="73" t="e">
        <f t="shared" si="23"/>
        <v>#DIV/0!</v>
      </c>
      <c r="J266" s="2"/>
      <c r="L266" s="40"/>
    </row>
    <row r="267" spans="1:12" ht="20.25" customHeight="1">
      <c r="A267" s="27" t="s">
        <v>295</v>
      </c>
      <c r="B267" s="64" t="s">
        <v>296</v>
      </c>
      <c r="C267" s="74" t="s">
        <v>38</v>
      </c>
      <c r="D267" s="71">
        <v>107.0432</v>
      </c>
      <c r="E267" s="71"/>
      <c r="F267" s="71">
        <v>40.3022</v>
      </c>
      <c r="G267" s="71"/>
      <c r="H267" s="68">
        <f t="shared" si="22"/>
        <v>-66.741</v>
      </c>
      <c r="I267" s="73">
        <f t="shared" si="23"/>
        <v>37.65040656482616</v>
      </c>
      <c r="J267" s="2"/>
      <c r="L267" s="40"/>
    </row>
    <row r="268" spans="1:12" ht="13.5" customHeight="1" hidden="1">
      <c r="A268" s="27" t="s">
        <v>295</v>
      </c>
      <c r="B268" s="64" t="s">
        <v>296</v>
      </c>
      <c r="C268" s="55" t="s">
        <v>473</v>
      </c>
      <c r="D268" s="71">
        <v>0</v>
      </c>
      <c r="E268" s="71"/>
      <c r="F268" s="71"/>
      <c r="G268" s="71"/>
      <c r="H268" s="68">
        <f t="shared" si="22"/>
        <v>0</v>
      </c>
      <c r="I268" s="73" t="e">
        <f t="shared" si="23"/>
        <v>#DIV/0!</v>
      </c>
      <c r="J268" s="2"/>
      <c r="L268" s="40"/>
    </row>
    <row r="269" spans="1:12" ht="15.75">
      <c r="A269" s="17" t="s">
        <v>297</v>
      </c>
      <c r="B269" s="64" t="s">
        <v>298</v>
      </c>
      <c r="C269" s="74" t="s">
        <v>264</v>
      </c>
      <c r="D269" s="71">
        <f>D270+D271+D272+D273+D274</f>
        <v>3811.48275</v>
      </c>
      <c r="E269" s="71">
        <f>E270+E271+E272+E273+E274</f>
        <v>0</v>
      </c>
      <c r="F269" s="71">
        <f>F270+F271+F272+F273+F274</f>
        <v>2126.9526899999996</v>
      </c>
      <c r="G269" s="71"/>
      <c r="H269" s="68">
        <f t="shared" si="22"/>
        <v>-1684.5300600000005</v>
      </c>
      <c r="I269" s="73">
        <f t="shared" si="23"/>
        <v>55.803812571367395</v>
      </c>
      <c r="J269" s="2"/>
      <c r="L269" s="40"/>
    </row>
    <row r="270" spans="1:12" ht="15.75">
      <c r="A270" s="17"/>
      <c r="B270" s="64" t="s">
        <v>356</v>
      </c>
      <c r="C270" s="63" t="s">
        <v>45</v>
      </c>
      <c r="D270" s="71">
        <v>2109.44465</v>
      </c>
      <c r="E270" s="71"/>
      <c r="F270" s="71">
        <v>1038.43131</v>
      </c>
      <c r="G270" s="71"/>
      <c r="H270" s="68">
        <f t="shared" si="22"/>
        <v>-1071.01334</v>
      </c>
      <c r="I270" s="73">
        <f t="shared" si="23"/>
        <v>49.22771071523493</v>
      </c>
      <c r="J270" s="2"/>
      <c r="L270" s="40"/>
    </row>
    <row r="271" spans="1:12" ht="15.75">
      <c r="A271" s="17"/>
      <c r="B271" s="64" t="s">
        <v>358</v>
      </c>
      <c r="C271" s="63" t="s">
        <v>44</v>
      </c>
      <c r="D271" s="71">
        <v>1667.0031</v>
      </c>
      <c r="E271" s="71"/>
      <c r="F271" s="71">
        <v>1064.95238</v>
      </c>
      <c r="G271" s="71"/>
      <c r="H271" s="68">
        <f t="shared" si="22"/>
        <v>-602.05072</v>
      </c>
      <c r="I271" s="73">
        <f t="shared" si="23"/>
        <v>63.88424712587517</v>
      </c>
      <c r="J271" s="2"/>
      <c r="L271" s="40"/>
    </row>
    <row r="272" spans="1:12" ht="15.75">
      <c r="A272" s="17"/>
      <c r="B272" s="64" t="s">
        <v>360</v>
      </c>
      <c r="C272" s="74" t="s">
        <v>395</v>
      </c>
      <c r="D272" s="71">
        <v>17.684</v>
      </c>
      <c r="E272" s="71"/>
      <c r="F272" s="71">
        <v>14.218</v>
      </c>
      <c r="G272" s="71"/>
      <c r="H272" s="68">
        <f t="shared" si="22"/>
        <v>-3.466000000000001</v>
      </c>
      <c r="I272" s="73">
        <f t="shared" si="23"/>
        <v>80.40036190907034</v>
      </c>
      <c r="J272" s="2"/>
      <c r="L272" s="40"/>
    </row>
    <row r="273" spans="1:12" ht="31.5">
      <c r="A273" s="17"/>
      <c r="B273" s="64" t="s">
        <v>377</v>
      </c>
      <c r="C273" s="74" t="s">
        <v>398</v>
      </c>
      <c r="D273" s="71">
        <v>17.351</v>
      </c>
      <c r="E273" s="71"/>
      <c r="F273" s="71">
        <v>9.351</v>
      </c>
      <c r="G273" s="71"/>
      <c r="H273" s="68">
        <f t="shared" si="22"/>
        <v>-7.999999999999998</v>
      </c>
      <c r="I273" s="73">
        <f t="shared" si="23"/>
        <v>53.89314736902773</v>
      </c>
      <c r="J273" s="2"/>
      <c r="L273" s="40"/>
    </row>
    <row r="274" spans="1:12" ht="20.25" customHeight="1" hidden="1">
      <c r="A274" s="17"/>
      <c r="B274" s="64" t="s">
        <v>372</v>
      </c>
      <c r="C274" s="74" t="s">
        <v>399</v>
      </c>
      <c r="D274" s="71"/>
      <c r="E274" s="71"/>
      <c r="F274" s="71"/>
      <c r="G274" s="71"/>
      <c r="H274" s="68">
        <f t="shared" si="22"/>
        <v>0</v>
      </c>
      <c r="I274" s="73" t="e">
        <f t="shared" si="23"/>
        <v>#DIV/0!</v>
      </c>
      <c r="J274" s="2"/>
      <c r="L274" s="40"/>
    </row>
    <row r="275" spans="1:12" ht="15.75">
      <c r="A275" s="17"/>
      <c r="B275" s="64" t="s">
        <v>300</v>
      </c>
      <c r="C275" s="74" t="s">
        <v>265</v>
      </c>
      <c r="D275" s="71">
        <f>D276+D277</f>
        <v>45.3</v>
      </c>
      <c r="E275" s="71">
        <f>E276+E277</f>
        <v>19</v>
      </c>
      <c r="F275" s="71">
        <f>F276+F277</f>
        <v>12.53098</v>
      </c>
      <c r="G275" s="71"/>
      <c r="H275" s="68">
        <f t="shared" si="22"/>
        <v>-32.76902</v>
      </c>
      <c r="I275" s="73">
        <f t="shared" si="23"/>
        <v>27.662207505518765</v>
      </c>
      <c r="J275" s="2"/>
      <c r="L275" s="40"/>
    </row>
    <row r="276" spans="1:12" ht="63" hidden="1">
      <c r="A276" s="17"/>
      <c r="B276" s="48" t="s">
        <v>19</v>
      </c>
      <c r="C276" s="7" t="s">
        <v>238</v>
      </c>
      <c r="D276" s="1"/>
      <c r="E276" s="15"/>
      <c r="F276" s="4"/>
      <c r="G276" s="5"/>
      <c r="H276" s="69">
        <f t="shared" si="22"/>
        <v>0</v>
      </c>
      <c r="I276" s="70" t="e">
        <f t="shared" si="23"/>
        <v>#DIV/0!</v>
      </c>
      <c r="J276" s="2"/>
      <c r="L276" s="40"/>
    </row>
    <row r="277" spans="1:12" ht="63">
      <c r="A277" s="27" t="s">
        <v>311</v>
      </c>
      <c r="B277" s="48" t="s">
        <v>312</v>
      </c>
      <c r="C277" s="18" t="s">
        <v>34</v>
      </c>
      <c r="D277" s="15">
        <v>45.3</v>
      </c>
      <c r="E277" s="15">
        <v>19</v>
      </c>
      <c r="F277" s="4">
        <v>12.53098</v>
      </c>
      <c r="G277" s="5">
        <f>F277-L269</f>
        <v>12.53098</v>
      </c>
      <c r="H277" s="69">
        <f t="shared" si="22"/>
        <v>-32.76902</v>
      </c>
      <c r="I277" s="70">
        <f t="shared" si="23"/>
        <v>27.662207505518765</v>
      </c>
      <c r="J277" s="2"/>
      <c r="L277" s="40"/>
    </row>
    <row r="278" spans="1:12" ht="15.75">
      <c r="A278" s="19" t="s">
        <v>322</v>
      </c>
      <c r="B278" s="72" t="s">
        <v>335</v>
      </c>
      <c r="C278" s="55" t="s">
        <v>266</v>
      </c>
      <c r="D278" s="71">
        <f>D279+D280+D281</f>
        <v>135.183</v>
      </c>
      <c r="E278" s="71">
        <f>E279+E280+E281</f>
        <v>0</v>
      </c>
      <c r="F278" s="71">
        <f>F279+F280+F281</f>
        <v>103.52744</v>
      </c>
      <c r="G278" s="71"/>
      <c r="H278" s="68">
        <f t="shared" si="22"/>
        <v>-31.655559999999994</v>
      </c>
      <c r="I278" s="73">
        <f t="shared" si="23"/>
        <v>76.5831798377015</v>
      </c>
      <c r="J278" s="2"/>
      <c r="L278" s="40"/>
    </row>
    <row r="279" spans="1:12" ht="18" customHeight="1">
      <c r="A279" s="19"/>
      <c r="B279" s="49" t="s">
        <v>445</v>
      </c>
      <c r="C279" s="24" t="s">
        <v>244</v>
      </c>
      <c r="D279" s="12">
        <v>0.083</v>
      </c>
      <c r="E279" s="12"/>
      <c r="F279" s="12">
        <v>0</v>
      </c>
      <c r="G279" s="12"/>
      <c r="H279" s="69">
        <f t="shared" si="22"/>
        <v>-0.083</v>
      </c>
      <c r="I279" s="70">
        <f t="shared" si="23"/>
        <v>0</v>
      </c>
      <c r="J279" s="2"/>
      <c r="L279" s="40"/>
    </row>
    <row r="280" spans="1:12" ht="16.5" customHeight="1" hidden="1">
      <c r="A280" s="19"/>
      <c r="B280" s="49" t="s">
        <v>288</v>
      </c>
      <c r="C280" s="24" t="s">
        <v>268</v>
      </c>
      <c r="D280" s="12"/>
      <c r="E280" s="12"/>
      <c r="F280" s="12"/>
      <c r="G280" s="12"/>
      <c r="H280" s="69">
        <f t="shared" si="22"/>
        <v>0</v>
      </c>
      <c r="I280" s="70" t="e">
        <f t="shared" si="23"/>
        <v>#DIV/0!</v>
      </c>
      <c r="J280" s="2"/>
      <c r="L280" s="40"/>
    </row>
    <row r="281" spans="1:12" ht="15.75">
      <c r="A281" s="19"/>
      <c r="B281" s="49" t="s">
        <v>446</v>
      </c>
      <c r="C281" s="99" t="s">
        <v>267</v>
      </c>
      <c r="D281" s="12">
        <v>135.1</v>
      </c>
      <c r="E281" s="12"/>
      <c r="F281" s="12">
        <v>103.52744</v>
      </c>
      <c r="G281" s="12"/>
      <c r="H281" s="69">
        <f t="shared" si="22"/>
        <v>-31.572559999999996</v>
      </c>
      <c r="I281" s="70">
        <f t="shared" si="23"/>
        <v>76.63022945965952</v>
      </c>
      <c r="J281" s="2"/>
      <c r="L281" s="40"/>
    </row>
    <row r="282" spans="1:12" ht="30.75" customHeight="1">
      <c r="A282" s="19"/>
      <c r="B282" s="72" t="s">
        <v>324</v>
      </c>
      <c r="C282" s="3" t="s">
        <v>247</v>
      </c>
      <c r="D282" s="71">
        <f>D283</f>
        <v>0.77</v>
      </c>
      <c r="E282" s="71">
        <f>E283</f>
        <v>0</v>
      </c>
      <c r="F282" s="71">
        <f>F283</f>
        <v>0.77</v>
      </c>
      <c r="G282" s="71"/>
      <c r="H282" s="68">
        <f t="shared" si="22"/>
        <v>0</v>
      </c>
      <c r="I282" s="73">
        <f t="shared" si="23"/>
        <v>100</v>
      </c>
      <c r="J282" s="2"/>
      <c r="L282" s="40"/>
    </row>
    <row r="283" spans="1:12" ht="31.5">
      <c r="A283" s="19"/>
      <c r="B283" s="72" t="s">
        <v>325</v>
      </c>
      <c r="C283" s="3" t="s">
        <v>39</v>
      </c>
      <c r="D283" s="71">
        <v>0.77</v>
      </c>
      <c r="E283" s="71"/>
      <c r="F283" s="71">
        <v>0.77</v>
      </c>
      <c r="G283" s="71"/>
      <c r="H283" s="68">
        <f t="shared" si="22"/>
        <v>0</v>
      </c>
      <c r="I283" s="73">
        <f t="shared" si="23"/>
        <v>100</v>
      </c>
      <c r="J283" s="2"/>
      <c r="L283" s="40"/>
    </row>
    <row r="284" spans="1:12" s="28" customFormat="1" ht="15.75">
      <c r="A284" s="97"/>
      <c r="B284" s="64"/>
      <c r="C284" s="80" t="s">
        <v>476</v>
      </c>
      <c r="D284" s="71">
        <f>D285+D286+D293+D297+D298+D304</f>
        <v>609.4313799999999</v>
      </c>
      <c r="E284" s="71">
        <f>E285+E286+E293+E297+E298+E304</f>
        <v>20.700000000000003</v>
      </c>
      <c r="F284" s="71">
        <f>F285+F286+F293+F297+F298+F304</f>
        <v>604.05472</v>
      </c>
      <c r="G284" s="71"/>
      <c r="H284" s="68">
        <f aca="true" t="shared" si="24" ref="H284:H306">F284-D284</f>
        <v>-5.376659999999902</v>
      </c>
      <c r="I284" s="73">
        <f aca="true" t="shared" si="25" ref="I284:I306">F284/D284*100</f>
        <v>99.11775793363317</v>
      </c>
      <c r="J284" s="59"/>
      <c r="L284" s="105"/>
    </row>
    <row r="285" spans="1:12" ht="24" customHeight="1" hidden="1">
      <c r="A285" s="27"/>
      <c r="B285" s="64" t="s">
        <v>296</v>
      </c>
      <c r="C285" s="80" t="s">
        <v>89</v>
      </c>
      <c r="D285" s="71"/>
      <c r="E285" s="71"/>
      <c r="F285" s="71"/>
      <c r="G285" s="71"/>
      <c r="H285" s="68">
        <f t="shared" si="24"/>
        <v>0</v>
      </c>
      <c r="I285" s="73" t="e">
        <f t="shared" si="25"/>
        <v>#DIV/0!</v>
      </c>
      <c r="J285" s="2"/>
      <c r="L285" s="40"/>
    </row>
    <row r="286" spans="1:12" ht="15.75">
      <c r="A286" s="17" t="s">
        <v>297</v>
      </c>
      <c r="B286" s="64" t="s">
        <v>298</v>
      </c>
      <c r="C286" s="74" t="s">
        <v>264</v>
      </c>
      <c r="D286" s="71">
        <f>D287+D288+D289+D290+D292+D291</f>
        <v>563.94174</v>
      </c>
      <c r="E286" s="71">
        <f>E287+E288+E289+E290+E292+E291</f>
        <v>0</v>
      </c>
      <c r="F286" s="71">
        <f>F287+F288+F289+F290+F292+F291</f>
        <v>560.32508</v>
      </c>
      <c r="G286" s="71"/>
      <c r="H286" s="68">
        <f t="shared" si="24"/>
        <v>-3.6166600000000244</v>
      </c>
      <c r="I286" s="73">
        <f t="shared" si="25"/>
        <v>99.35868198016341</v>
      </c>
      <c r="J286" s="2"/>
      <c r="L286" s="40"/>
    </row>
    <row r="287" spans="1:12" ht="15.75">
      <c r="A287" s="17"/>
      <c r="B287" s="48" t="s">
        <v>356</v>
      </c>
      <c r="C287" s="20" t="s">
        <v>45</v>
      </c>
      <c r="D287" s="12">
        <v>326.10753</v>
      </c>
      <c r="E287" s="12"/>
      <c r="F287" s="12">
        <v>326.10753</v>
      </c>
      <c r="G287" s="12"/>
      <c r="H287" s="69">
        <f t="shared" si="24"/>
        <v>0</v>
      </c>
      <c r="I287" s="70">
        <f t="shared" si="25"/>
        <v>100</v>
      </c>
      <c r="J287" s="2"/>
      <c r="L287" s="40"/>
    </row>
    <row r="288" spans="1:12" ht="15.75">
      <c r="A288" s="17"/>
      <c r="B288" s="48" t="s">
        <v>358</v>
      </c>
      <c r="C288" s="20" t="s">
        <v>44</v>
      </c>
      <c r="D288" s="12">
        <v>231.67646</v>
      </c>
      <c r="E288" s="12"/>
      <c r="F288" s="12">
        <v>228.0598</v>
      </c>
      <c r="G288" s="12"/>
      <c r="H288" s="69">
        <f t="shared" si="24"/>
        <v>-3.616659999999996</v>
      </c>
      <c r="I288" s="70">
        <f t="shared" si="25"/>
        <v>98.43891779078461</v>
      </c>
      <c r="J288" s="2"/>
      <c r="L288" s="40"/>
    </row>
    <row r="289" spans="1:12" ht="15.75">
      <c r="A289" s="17"/>
      <c r="B289" s="48" t="s">
        <v>360</v>
      </c>
      <c r="C289" s="18" t="s">
        <v>395</v>
      </c>
      <c r="D289" s="12">
        <v>6.01375</v>
      </c>
      <c r="E289" s="12"/>
      <c r="F289" s="12">
        <v>6.01375</v>
      </c>
      <c r="G289" s="12"/>
      <c r="H289" s="69">
        <f t="shared" si="24"/>
        <v>0</v>
      </c>
      <c r="I289" s="70">
        <f t="shared" si="25"/>
        <v>100</v>
      </c>
      <c r="J289" s="2"/>
      <c r="L289" s="40"/>
    </row>
    <row r="290" spans="1:12" ht="15" customHeight="1">
      <c r="A290" s="17"/>
      <c r="B290" s="48" t="s">
        <v>375</v>
      </c>
      <c r="C290" s="18" t="s">
        <v>46</v>
      </c>
      <c r="D290" s="12">
        <v>0.144</v>
      </c>
      <c r="E290" s="12"/>
      <c r="F290" s="12">
        <v>0.144</v>
      </c>
      <c r="G290" s="12"/>
      <c r="H290" s="69">
        <f t="shared" si="24"/>
        <v>0</v>
      </c>
      <c r="I290" s="70">
        <f t="shared" si="25"/>
        <v>100</v>
      </c>
      <c r="J290" s="2"/>
      <c r="L290" s="40"/>
    </row>
    <row r="291" spans="1:12" ht="31.5" hidden="1">
      <c r="A291" s="17"/>
      <c r="B291" s="48" t="s">
        <v>377</v>
      </c>
      <c r="C291" s="18" t="s">
        <v>398</v>
      </c>
      <c r="D291" s="12"/>
      <c r="E291" s="12"/>
      <c r="F291" s="12"/>
      <c r="G291" s="12"/>
      <c r="H291" s="69">
        <f t="shared" si="24"/>
        <v>0</v>
      </c>
      <c r="I291" s="70" t="e">
        <f t="shared" si="25"/>
        <v>#DIV/0!</v>
      </c>
      <c r="J291" s="2"/>
      <c r="L291" s="40"/>
    </row>
    <row r="292" spans="1:12" ht="31.5" hidden="1">
      <c r="A292" s="17"/>
      <c r="B292" s="48" t="s">
        <v>372</v>
      </c>
      <c r="C292" s="18" t="s">
        <v>399</v>
      </c>
      <c r="D292" s="12"/>
      <c r="E292" s="12"/>
      <c r="F292" s="12"/>
      <c r="G292" s="12"/>
      <c r="H292" s="69">
        <f t="shared" si="24"/>
        <v>0</v>
      </c>
      <c r="I292" s="70" t="e">
        <f t="shared" si="25"/>
        <v>#DIV/0!</v>
      </c>
      <c r="J292" s="2"/>
      <c r="L292" s="40"/>
    </row>
    <row r="293" spans="1:12" ht="15.75">
      <c r="A293" s="17"/>
      <c r="B293" s="64" t="s">
        <v>300</v>
      </c>
      <c r="C293" s="74" t="s">
        <v>265</v>
      </c>
      <c r="D293" s="71">
        <f>D294+D295+D296</f>
        <v>1.0354999999999999</v>
      </c>
      <c r="E293" s="71">
        <f>E294+E295+E296</f>
        <v>0</v>
      </c>
      <c r="F293" s="71">
        <f>F294+F295+F296</f>
        <v>1.0855</v>
      </c>
      <c r="G293" s="71"/>
      <c r="H293" s="68">
        <f t="shared" si="24"/>
        <v>0.050000000000000044</v>
      </c>
      <c r="I293" s="73">
        <f t="shared" si="25"/>
        <v>104.82858522452922</v>
      </c>
      <c r="J293" s="2"/>
      <c r="L293" s="40"/>
    </row>
    <row r="294" spans="1:12" ht="31.5">
      <c r="A294" s="17"/>
      <c r="B294" s="48" t="s">
        <v>309</v>
      </c>
      <c r="C294" s="18" t="s">
        <v>158</v>
      </c>
      <c r="D294" s="12">
        <v>0.05</v>
      </c>
      <c r="E294" s="12"/>
      <c r="F294" s="12">
        <v>0.05</v>
      </c>
      <c r="G294" s="12"/>
      <c r="H294" s="69">
        <f t="shared" si="24"/>
        <v>0</v>
      </c>
      <c r="I294" s="70">
        <f t="shared" si="25"/>
        <v>100</v>
      </c>
      <c r="J294" s="2"/>
      <c r="L294" s="40"/>
    </row>
    <row r="295" spans="1:12" ht="31.5">
      <c r="A295" s="17"/>
      <c r="B295" s="48" t="s">
        <v>365</v>
      </c>
      <c r="C295" s="18" t="s">
        <v>32</v>
      </c>
      <c r="D295" s="12">
        <v>0.0855</v>
      </c>
      <c r="E295" s="12"/>
      <c r="F295" s="12">
        <v>0.0855</v>
      </c>
      <c r="G295" s="12"/>
      <c r="H295" s="69">
        <f>F295-D295</f>
        <v>0</v>
      </c>
      <c r="I295" s="70">
        <f>F295/D295*100</f>
        <v>100</v>
      </c>
      <c r="J295" s="2"/>
      <c r="L295" s="40"/>
    </row>
    <row r="296" spans="1:12" ht="66.75" customHeight="1">
      <c r="A296" s="17"/>
      <c r="B296" s="48" t="s">
        <v>312</v>
      </c>
      <c r="C296" s="18" t="s">
        <v>34</v>
      </c>
      <c r="D296" s="12">
        <f>0.95-0.05</f>
        <v>0.8999999999999999</v>
      </c>
      <c r="E296" s="12"/>
      <c r="F296" s="12">
        <v>0.95</v>
      </c>
      <c r="G296" s="12"/>
      <c r="H296" s="69">
        <f>F296-D296</f>
        <v>0.050000000000000044</v>
      </c>
      <c r="I296" s="70">
        <f>F296/D296*100</f>
        <v>105.55555555555556</v>
      </c>
      <c r="J296" s="2"/>
      <c r="L296" s="40"/>
    </row>
    <row r="297" spans="1:12" ht="63">
      <c r="A297" s="27" t="s">
        <v>311</v>
      </c>
      <c r="B297" s="64" t="s">
        <v>321</v>
      </c>
      <c r="C297" s="55" t="s">
        <v>270</v>
      </c>
      <c r="D297" s="6">
        <v>21.08277</v>
      </c>
      <c r="E297" s="6">
        <v>20.6</v>
      </c>
      <c r="F297" s="6">
        <v>21.08277</v>
      </c>
      <c r="G297" s="5"/>
      <c r="H297" s="68">
        <f t="shared" si="24"/>
        <v>0</v>
      </c>
      <c r="I297" s="73">
        <f t="shared" si="25"/>
        <v>100</v>
      </c>
      <c r="J297" s="2"/>
      <c r="L297" s="40"/>
    </row>
    <row r="298" spans="1:12" ht="15.75">
      <c r="A298" s="19" t="s">
        <v>322</v>
      </c>
      <c r="B298" s="72" t="s">
        <v>335</v>
      </c>
      <c r="C298" s="63" t="s">
        <v>266</v>
      </c>
      <c r="D298" s="100">
        <f>D299+D300+D301+D302</f>
        <v>23.37137</v>
      </c>
      <c r="E298" s="100">
        <f>E299+E300+E301+E302</f>
        <v>0</v>
      </c>
      <c r="F298" s="100">
        <f>F299+F300+F301+F302</f>
        <v>21.56137</v>
      </c>
      <c r="G298" s="71"/>
      <c r="H298" s="68">
        <f t="shared" si="24"/>
        <v>-1.8099999999999987</v>
      </c>
      <c r="I298" s="73">
        <f t="shared" si="25"/>
        <v>92.2554818138603</v>
      </c>
      <c r="J298" s="2"/>
      <c r="L298" s="40"/>
    </row>
    <row r="299" spans="1:12" ht="15.75">
      <c r="A299" s="19"/>
      <c r="B299" s="72" t="s">
        <v>444</v>
      </c>
      <c r="C299" s="87" t="s">
        <v>271</v>
      </c>
      <c r="D299" s="100">
        <v>14.61137</v>
      </c>
      <c r="E299" s="71"/>
      <c r="F299" s="71">
        <v>14.61137</v>
      </c>
      <c r="G299" s="71"/>
      <c r="H299" s="68">
        <f t="shared" si="24"/>
        <v>0</v>
      </c>
      <c r="I299" s="73">
        <f t="shared" si="25"/>
        <v>100</v>
      </c>
      <c r="J299" s="2"/>
      <c r="L299" s="40"/>
    </row>
    <row r="300" spans="1:12" ht="15.75" customHeight="1">
      <c r="A300" s="19"/>
      <c r="B300" s="72" t="s">
        <v>445</v>
      </c>
      <c r="C300" s="87" t="s">
        <v>192</v>
      </c>
      <c r="D300" s="100">
        <v>0.55</v>
      </c>
      <c r="E300" s="71"/>
      <c r="F300" s="71">
        <v>0.34</v>
      </c>
      <c r="G300" s="71"/>
      <c r="H300" s="68">
        <f t="shared" si="24"/>
        <v>-0.21000000000000002</v>
      </c>
      <c r="I300" s="73">
        <f t="shared" si="25"/>
        <v>61.81818181818181</v>
      </c>
      <c r="J300" s="2"/>
      <c r="L300" s="40"/>
    </row>
    <row r="301" spans="1:12" ht="15.75">
      <c r="A301" s="19"/>
      <c r="B301" s="72" t="s">
        <v>446</v>
      </c>
      <c r="C301" s="99" t="s">
        <v>267</v>
      </c>
      <c r="D301" s="100">
        <v>2.22</v>
      </c>
      <c r="E301" s="71"/>
      <c r="F301" s="71">
        <v>2.22</v>
      </c>
      <c r="G301" s="71"/>
      <c r="H301" s="68">
        <f t="shared" si="24"/>
        <v>0</v>
      </c>
      <c r="I301" s="73">
        <f t="shared" si="25"/>
        <v>100</v>
      </c>
      <c r="J301" s="2"/>
      <c r="L301" s="40"/>
    </row>
    <row r="302" spans="1:12" ht="31.5">
      <c r="A302" s="19"/>
      <c r="B302" s="72" t="s">
        <v>424</v>
      </c>
      <c r="C302" s="99" t="s">
        <v>281</v>
      </c>
      <c r="D302" s="100">
        <v>5.99</v>
      </c>
      <c r="E302" s="71"/>
      <c r="F302" s="71">
        <v>4.39</v>
      </c>
      <c r="G302" s="71"/>
      <c r="H302" s="68">
        <f t="shared" si="24"/>
        <v>-1.6000000000000005</v>
      </c>
      <c r="I302" s="73">
        <f t="shared" si="25"/>
        <v>73.28881469115191</v>
      </c>
      <c r="J302" s="2"/>
      <c r="L302" s="40"/>
    </row>
    <row r="303" spans="1:12" ht="66" customHeight="1" hidden="1">
      <c r="A303" s="19"/>
      <c r="B303" s="72" t="s">
        <v>415</v>
      </c>
      <c r="C303" s="55" t="s">
        <v>282</v>
      </c>
      <c r="D303" s="100"/>
      <c r="E303" s="71"/>
      <c r="F303" s="71"/>
      <c r="G303" s="71"/>
      <c r="H303" s="68">
        <f t="shared" si="24"/>
        <v>0</v>
      </c>
      <c r="I303" s="76" t="e">
        <f t="shared" si="25"/>
        <v>#DIV/0!</v>
      </c>
      <c r="J303" s="2"/>
      <c r="L303" s="40"/>
    </row>
    <row r="304" spans="1:12" ht="31.5" hidden="1">
      <c r="A304" s="27" t="s">
        <v>323</v>
      </c>
      <c r="B304" s="64" t="s">
        <v>325</v>
      </c>
      <c r="C304" s="80" t="s">
        <v>39</v>
      </c>
      <c r="D304" s="6"/>
      <c r="E304" s="6">
        <v>0.1</v>
      </c>
      <c r="F304" s="5"/>
      <c r="G304" s="5" t="e">
        <f>F304-#REF!</f>
        <v>#REF!</v>
      </c>
      <c r="H304" s="68">
        <f t="shared" si="24"/>
        <v>0</v>
      </c>
      <c r="I304" s="73" t="e">
        <f t="shared" si="25"/>
        <v>#DIV/0!</v>
      </c>
      <c r="J304" s="2"/>
      <c r="L304" s="59"/>
    </row>
    <row r="305" spans="1:12" ht="18" customHeight="1">
      <c r="A305" s="27"/>
      <c r="B305" s="97"/>
      <c r="C305" s="74" t="s">
        <v>391</v>
      </c>
      <c r="D305" s="6">
        <f>D187+D265+D284</f>
        <v>30825.206139999995</v>
      </c>
      <c r="E305" s="6">
        <f>E187+E265+E284</f>
        <v>155.7</v>
      </c>
      <c r="F305" s="6">
        <f>F187+F265+F284</f>
        <v>12518.794779999998</v>
      </c>
      <c r="G305" s="6" t="e">
        <f>G265+#REF!+#REF!</f>
        <v>#REF!</v>
      </c>
      <c r="H305" s="68">
        <f t="shared" si="24"/>
        <v>-18306.41136</v>
      </c>
      <c r="I305" s="73">
        <f t="shared" si="25"/>
        <v>40.612201336603945</v>
      </c>
      <c r="L305" s="29"/>
    </row>
    <row r="306" spans="1:12" ht="18" customHeight="1">
      <c r="A306" s="27"/>
      <c r="B306" s="97"/>
      <c r="C306" s="74" t="s">
        <v>290</v>
      </c>
      <c r="D306" s="6">
        <f>D305+D185</f>
        <v>197588.78579999998</v>
      </c>
      <c r="E306" s="6"/>
      <c r="F306" s="6">
        <f>F305+F185</f>
        <v>141476.4594</v>
      </c>
      <c r="G306" s="6"/>
      <c r="H306" s="68">
        <f t="shared" si="24"/>
        <v>-56112.32639999999</v>
      </c>
      <c r="I306" s="73">
        <f t="shared" si="25"/>
        <v>71.60146200969267</v>
      </c>
      <c r="L306" s="29"/>
    </row>
    <row r="307" spans="1:12" ht="78" customHeight="1">
      <c r="A307" s="117" t="s">
        <v>28</v>
      </c>
      <c r="B307" s="117"/>
      <c r="C307" s="117"/>
      <c r="D307" s="117"/>
      <c r="E307" s="60"/>
      <c r="F307" s="114" t="s">
        <v>47</v>
      </c>
      <c r="G307" s="114"/>
      <c r="H307" s="114"/>
      <c r="I307" s="114"/>
      <c r="L307" s="29"/>
    </row>
    <row r="308" spans="1:12" ht="18" customHeight="1">
      <c r="A308" s="106"/>
      <c r="B308" s="106"/>
      <c r="C308" s="106"/>
      <c r="G308" s="107"/>
      <c r="H308" s="107"/>
      <c r="L308" s="29"/>
    </row>
    <row r="309" spans="1:12" ht="18" customHeight="1">
      <c r="A309" s="106"/>
      <c r="B309" s="106"/>
      <c r="C309" s="106"/>
      <c r="L309" s="29"/>
    </row>
    <row r="310" spans="3:12" ht="15.75">
      <c r="C310" s="41"/>
      <c r="L310" s="34"/>
    </row>
    <row r="311" spans="3:12" ht="15.75">
      <c r="C311" s="42"/>
      <c r="D311" s="43"/>
      <c r="E311" s="43"/>
      <c r="F311" s="43"/>
      <c r="G311" s="44"/>
      <c r="L311" s="45"/>
    </row>
    <row r="312" spans="3:12" ht="45" customHeight="1">
      <c r="C312" s="41"/>
      <c r="D312" s="9"/>
      <c r="E312" s="9"/>
      <c r="F312" s="9"/>
      <c r="G312" s="46"/>
      <c r="H312" s="9"/>
      <c r="L312" s="45"/>
    </row>
    <row r="313" spans="3:12" ht="84" customHeight="1">
      <c r="C313" s="41"/>
      <c r="D313" s="9"/>
      <c r="E313" s="9"/>
      <c r="F313" s="9"/>
      <c r="G313" s="46"/>
      <c r="L313" s="29"/>
    </row>
    <row r="314" spans="3:12" ht="15.75">
      <c r="C314" s="41"/>
      <c r="L314" s="45"/>
    </row>
    <row r="315" spans="3:12" ht="15.75">
      <c r="C315" s="41"/>
      <c r="D315" s="9"/>
      <c r="E315" s="9"/>
      <c r="F315" s="9"/>
      <c r="G315" s="46"/>
      <c r="L315" s="29"/>
    </row>
    <row r="316" ht="15.75">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row r="428" ht="15.75">
      <c r="L428" s="29"/>
    </row>
  </sheetData>
  <mergeCells count="11">
    <mergeCell ref="A309:C309"/>
    <mergeCell ref="H6:I6"/>
    <mergeCell ref="A9:I9"/>
    <mergeCell ref="A186:I186"/>
    <mergeCell ref="F307:I307"/>
    <mergeCell ref="A307:D307"/>
    <mergeCell ref="F1:I1"/>
    <mergeCell ref="A4:I4"/>
    <mergeCell ref="A5:I5"/>
    <mergeCell ref="A308:C308"/>
    <mergeCell ref="G308:H308"/>
  </mergeCells>
  <printOptions/>
  <pageMargins left="1.41" right="0.31" top="0.55" bottom="0.19" header="0" footer="0"/>
  <pageSetup blackAndWhite="1" fitToHeight="8"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M429"/>
  <sheetViews>
    <sheetView view="pageBreakPreview" zoomScaleSheetLayoutView="100" workbookViewId="0" topLeftCell="B294">
      <selection activeCell="D185" sqref="D185"/>
    </sheetView>
  </sheetViews>
  <sheetFormatPr defaultColWidth="9.00390625" defaultRowHeight="12.75"/>
  <cols>
    <col min="1" max="1" width="9.125" style="21" hidden="1" customWidth="1"/>
    <col min="2" max="2" width="13.25390625" style="21" customWidth="1"/>
    <col min="3" max="3" width="61.75390625" style="21" customWidth="1"/>
    <col min="4" max="4" width="16.875" style="21" customWidth="1"/>
    <col min="5" max="5" width="12.375" style="21" hidden="1" customWidth="1"/>
    <col min="6" max="6" width="19.375" style="21" customWidth="1"/>
    <col min="7" max="7" width="11.625" style="28" hidden="1" customWidth="1"/>
    <col min="8" max="8" width="13.875" style="21" customWidth="1"/>
    <col min="9" max="9" width="12.875" style="21" customWidth="1"/>
    <col min="10" max="10" width="10.75390625" style="21" customWidth="1"/>
    <col min="11" max="11" width="9.125" style="21" customWidth="1"/>
    <col min="12" max="12" width="11.125" style="21" customWidth="1"/>
    <col min="13" max="16384" width="9.125" style="21" customWidth="1"/>
  </cols>
  <sheetData>
    <row r="1" spans="3:9" s="52" customFormat="1" ht="26.25" hidden="1">
      <c r="C1" s="62"/>
      <c r="E1" s="62" t="s">
        <v>27</v>
      </c>
      <c r="F1" s="118" t="s">
        <v>29</v>
      </c>
      <c r="G1" s="118"/>
      <c r="H1" s="118"/>
      <c r="I1" s="118"/>
    </row>
    <row r="2" spans="5:9" s="52" customFormat="1" ht="26.25" hidden="1">
      <c r="E2" s="62"/>
      <c r="F2" s="78" t="s">
        <v>95</v>
      </c>
      <c r="G2" s="62"/>
      <c r="H2" s="53"/>
      <c r="I2" s="53"/>
    </row>
    <row r="3" spans="5:9" s="52" customFormat="1" ht="26.25" hidden="1">
      <c r="E3" s="62"/>
      <c r="F3" s="78" t="s">
        <v>97</v>
      </c>
      <c r="G3" s="62"/>
      <c r="H3" s="53"/>
      <c r="I3" s="53"/>
    </row>
    <row r="4" spans="1:12" s="52" customFormat="1" ht="24.75" customHeight="1">
      <c r="A4" s="116" t="s">
        <v>24</v>
      </c>
      <c r="B4" s="116"/>
      <c r="C4" s="116"/>
      <c r="D4" s="116"/>
      <c r="E4" s="116"/>
      <c r="F4" s="116"/>
      <c r="G4" s="116"/>
      <c r="H4" s="116"/>
      <c r="I4" s="116"/>
      <c r="J4" s="53"/>
      <c r="L4" s="54"/>
    </row>
    <row r="5" spans="1:12" s="52" customFormat="1" ht="26.25">
      <c r="A5" s="116" t="s">
        <v>234</v>
      </c>
      <c r="B5" s="116"/>
      <c r="C5" s="116"/>
      <c r="D5" s="116"/>
      <c r="E5" s="116"/>
      <c r="F5" s="116"/>
      <c r="G5" s="116"/>
      <c r="H5" s="116"/>
      <c r="I5" s="116"/>
      <c r="J5" s="56"/>
      <c r="L5" s="54"/>
    </row>
    <row r="6" spans="8:13" ht="15.75">
      <c r="H6" s="108" t="s">
        <v>56</v>
      </c>
      <c r="I6" s="108"/>
      <c r="J6" s="30"/>
      <c r="K6" s="31"/>
      <c r="L6" s="30"/>
      <c r="M6" s="31"/>
    </row>
    <row r="7" spans="1:12" ht="78.75">
      <c r="A7" s="32" t="s">
        <v>292</v>
      </c>
      <c r="B7" s="32" t="s">
        <v>293</v>
      </c>
      <c r="C7" s="32" t="s">
        <v>294</v>
      </c>
      <c r="D7" s="33" t="s">
        <v>57</v>
      </c>
      <c r="E7" s="32" t="s">
        <v>456</v>
      </c>
      <c r="F7" s="32" t="s">
        <v>235</v>
      </c>
      <c r="G7" s="33" t="s">
        <v>451</v>
      </c>
      <c r="H7" s="32" t="s">
        <v>59</v>
      </c>
      <c r="I7" s="32" t="s">
        <v>60</v>
      </c>
      <c r="J7" s="34"/>
      <c r="L7" s="34"/>
    </row>
    <row r="8" spans="1:12" ht="15.75">
      <c r="A8" s="35">
        <v>1</v>
      </c>
      <c r="B8" s="35">
        <v>1</v>
      </c>
      <c r="C8" s="35">
        <v>2</v>
      </c>
      <c r="D8" s="35">
        <v>3</v>
      </c>
      <c r="E8" s="35">
        <v>4</v>
      </c>
      <c r="F8" s="35">
        <v>4</v>
      </c>
      <c r="G8" s="36">
        <v>6</v>
      </c>
      <c r="H8" s="35">
        <v>5</v>
      </c>
      <c r="I8" s="35">
        <v>6</v>
      </c>
      <c r="J8" s="57"/>
      <c r="L8" s="29"/>
    </row>
    <row r="9" spans="1:12" ht="15.75">
      <c r="A9" s="109"/>
      <c r="B9" s="109"/>
      <c r="C9" s="109"/>
      <c r="D9" s="109"/>
      <c r="E9" s="109"/>
      <c r="F9" s="109"/>
      <c r="G9" s="109"/>
      <c r="H9" s="109"/>
      <c r="I9" s="110"/>
      <c r="J9" s="2"/>
      <c r="L9" s="37"/>
    </row>
    <row r="10" spans="1:12" ht="15.75">
      <c r="A10" s="16" t="s">
        <v>295</v>
      </c>
      <c r="B10" s="79" t="s">
        <v>296</v>
      </c>
      <c r="C10" s="80" t="s">
        <v>98</v>
      </c>
      <c r="D10" s="5">
        <f>SUM(D11:D19)</f>
        <v>11288.963860000002</v>
      </c>
      <c r="E10" s="5">
        <f>SUM(E11:E19)</f>
        <v>3613.0000000000005</v>
      </c>
      <c r="F10" s="5">
        <f>SUM(F11:F19)</f>
        <v>9558.30105</v>
      </c>
      <c r="G10" s="5" t="e">
        <f>SUM(G11:G19)</f>
        <v>#REF!</v>
      </c>
      <c r="H10" s="5">
        <f aca="true" t="shared" si="0" ref="H10:H34">F10-D10</f>
        <v>-1730.6628100000016</v>
      </c>
      <c r="I10" s="6">
        <f aca="true" t="shared" si="1" ref="I10:I26">F10/D10*100</f>
        <v>84.66942731447453</v>
      </c>
      <c r="J10" s="2"/>
      <c r="L10" s="37"/>
    </row>
    <row r="11" spans="1:12" ht="15.75">
      <c r="A11" s="17" t="s">
        <v>295</v>
      </c>
      <c r="B11" s="48" t="s">
        <v>296</v>
      </c>
      <c r="C11" s="18" t="s">
        <v>114</v>
      </c>
      <c r="D11" s="6">
        <v>713.892</v>
      </c>
      <c r="E11" s="1">
        <v>314.3</v>
      </c>
      <c r="F11" s="4">
        <v>646.28063</v>
      </c>
      <c r="G11" s="5">
        <f>F11-L10</f>
        <v>646.28063</v>
      </c>
      <c r="H11" s="4">
        <f t="shared" si="0"/>
        <v>-67.61137000000008</v>
      </c>
      <c r="I11" s="1">
        <f t="shared" si="1"/>
        <v>90.52918788836406</v>
      </c>
      <c r="J11" s="2"/>
      <c r="L11" s="37"/>
    </row>
    <row r="12" spans="1:12" ht="31.5">
      <c r="A12" s="17" t="s">
        <v>295</v>
      </c>
      <c r="B12" s="48" t="s">
        <v>296</v>
      </c>
      <c r="C12" s="18" t="s">
        <v>118</v>
      </c>
      <c r="D12" s="6">
        <v>5085.21556</v>
      </c>
      <c r="E12" s="1">
        <v>1487.3</v>
      </c>
      <c r="F12" s="4">
        <v>4282.39064</v>
      </c>
      <c r="G12" s="5">
        <f>F12-L11</f>
        <v>4282.39064</v>
      </c>
      <c r="H12" s="4">
        <f t="shared" si="0"/>
        <v>-802.82492</v>
      </c>
      <c r="I12" s="1">
        <f t="shared" si="1"/>
        <v>84.21256856218696</v>
      </c>
      <c r="J12" s="2"/>
      <c r="L12" s="37"/>
    </row>
    <row r="13" spans="1:12" ht="47.25">
      <c r="A13" s="17"/>
      <c r="B13" s="48" t="s">
        <v>296</v>
      </c>
      <c r="C13" s="18" t="s">
        <v>251</v>
      </c>
      <c r="D13" s="6">
        <f>42.653-5</f>
        <v>37.653</v>
      </c>
      <c r="E13" s="1"/>
      <c r="F13" s="4">
        <v>6.109</v>
      </c>
      <c r="G13" s="5"/>
      <c r="H13" s="4">
        <f t="shared" si="0"/>
        <v>-31.543999999999997</v>
      </c>
      <c r="I13" s="1">
        <f t="shared" si="1"/>
        <v>16.22447082569782</v>
      </c>
      <c r="J13" s="2"/>
      <c r="L13" s="37"/>
    </row>
    <row r="14" spans="1:12" ht="31.5">
      <c r="A14" s="17" t="s">
        <v>295</v>
      </c>
      <c r="B14" s="48" t="s">
        <v>296</v>
      </c>
      <c r="C14" s="18" t="s">
        <v>119</v>
      </c>
      <c r="D14" s="6">
        <v>1172.898</v>
      </c>
      <c r="E14" s="1">
        <v>432.3</v>
      </c>
      <c r="F14" s="4">
        <v>913.91771</v>
      </c>
      <c r="G14" s="5">
        <f>F14-L12</f>
        <v>913.91771</v>
      </c>
      <c r="H14" s="4">
        <f t="shared" si="0"/>
        <v>-258.98028999999985</v>
      </c>
      <c r="I14" s="1">
        <f t="shared" si="1"/>
        <v>77.91962387181154</v>
      </c>
      <c r="J14" s="2"/>
      <c r="L14" s="37"/>
    </row>
    <row r="15" spans="1:12" ht="31.5">
      <c r="A15" s="17" t="s">
        <v>295</v>
      </c>
      <c r="B15" s="48" t="s">
        <v>296</v>
      </c>
      <c r="C15" s="7" t="s">
        <v>120</v>
      </c>
      <c r="D15" s="6">
        <v>1821.12908</v>
      </c>
      <c r="E15" s="1">
        <v>549.7</v>
      </c>
      <c r="F15" s="4">
        <v>1594.43755</v>
      </c>
      <c r="G15" s="5">
        <f>F15-L14</f>
        <v>1594.43755</v>
      </c>
      <c r="H15" s="4">
        <f t="shared" si="0"/>
        <v>-226.69152999999983</v>
      </c>
      <c r="I15" s="1">
        <f t="shared" si="1"/>
        <v>87.55214375029364</v>
      </c>
      <c r="J15" s="2"/>
      <c r="L15" s="37"/>
    </row>
    <row r="16" spans="1:12" ht="47.25">
      <c r="A16" s="17" t="s">
        <v>295</v>
      </c>
      <c r="B16" s="48" t="s">
        <v>296</v>
      </c>
      <c r="C16" s="7" t="s">
        <v>121</v>
      </c>
      <c r="D16" s="6">
        <v>829.87</v>
      </c>
      <c r="E16" s="1">
        <v>309</v>
      </c>
      <c r="F16" s="4">
        <v>699.85254</v>
      </c>
      <c r="G16" s="5">
        <f>F16-L15</f>
        <v>699.85254</v>
      </c>
      <c r="H16" s="4">
        <f t="shared" si="0"/>
        <v>-130.01746000000003</v>
      </c>
      <c r="I16" s="1">
        <f t="shared" si="1"/>
        <v>84.33279188306602</v>
      </c>
      <c r="J16" s="2"/>
      <c r="L16" s="37"/>
    </row>
    <row r="17" spans="1:12" ht="31.5">
      <c r="A17" s="17" t="s">
        <v>295</v>
      </c>
      <c r="B17" s="48" t="s">
        <v>296</v>
      </c>
      <c r="C17" s="7" t="s">
        <v>122</v>
      </c>
      <c r="D17" s="6">
        <v>793.2078</v>
      </c>
      <c r="E17" s="1">
        <v>258.7</v>
      </c>
      <c r="F17" s="4">
        <v>696.16054</v>
      </c>
      <c r="G17" s="5">
        <f>F17-L16</f>
        <v>696.16054</v>
      </c>
      <c r="H17" s="4">
        <f t="shared" si="0"/>
        <v>-97.04726000000005</v>
      </c>
      <c r="I17" s="1">
        <f t="shared" si="1"/>
        <v>87.76521612621559</v>
      </c>
      <c r="J17" s="2"/>
      <c r="L17" s="37"/>
    </row>
    <row r="18" spans="1:12" ht="31.5">
      <c r="A18" s="17" t="s">
        <v>295</v>
      </c>
      <c r="B18" s="48" t="s">
        <v>296</v>
      </c>
      <c r="C18" s="18" t="s">
        <v>123</v>
      </c>
      <c r="D18" s="6">
        <v>449.5394</v>
      </c>
      <c r="E18" s="1">
        <v>132.9</v>
      </c>
      <c r="F18" s="4">
        <v>382.01339</v>
      </c>
      <c r="G18" s="5" t="e">
        <f>F18-#REF!</f>
        <v>#REF!</v>
      </c>
      <c r="H18" s="4">
        <f t="shared" si="0"/>
        <v>-67.52600999999999</v>
      </c>
      <c r="I18" s="1">
        <f t="shared" si="1"/>
        <v>84.97884501336257</v>
      </c>
      <c r="J18" s="2"/>
      <c r="L18" s="37"/>
    </row>
    <row r="19" spans="1:12" ht="31.5">
      <c r="A19" s="17" t="s">
        <v>295</v>
      </c>
      <c r="B19" s="48" t="s">
        <v>296</v>
      </c>
      <c r="C19" s="18" t="s">
        <v>124</v>
      </c>
      <c r="D19" s="6">
        <v>385.55902</v>
      </c>
      <c r="E19" s="1">
        <v>128.8</v>
      </c>
      <c r="F19" s="4">
        <v>337.13905</v>
      </c>
      <c r="G19" s="5">
        <f>F19-L18</f>
        <v>337.13905</v>
      </c>
      <c r="H19" s="4">
        <f t="shared" si="0"/>
        <v>-48.41996999999998</v>
      </c>
      <c r="I19" s="1">
        <f t="shared" si="1"/>
        <v>87.44161918452849</v>
      </c>
      <c r="J19" s="2"/>
      <c r="L19" s="2"/>
    </row>
    <row r="20" spans="1:12" ht="63">
      <c r="A20" s="17"/>
      <c r="B20" s="72" t="s">
        <v>478</v>
      </c>
      <c r="C20" s="55" t="s">
        <v>125</v>
      </c>
      <c r="D20" s="46">
        <v>7.81</v>
      </c>
      <c r="E20" s="46"/>
      <c r="F20" s="5">
        <v>0</v>
      </c>
      <c r="G20" s="5"/>
      <c r="H20" s="5">
        <f t="shared" si="0"/>
        <v>-7.81</v>
      </c>
      <c r="I20" s="6">
        <f t="shared" si="1"/>
        <v>0</v>
      </c>
      <c r="J20" s="2"/>
      <c r="L20" s="2"/>
    </row>
    <row r="21" spans="1:12" ht="15.75">
      <c r="A21" s="17" t="s">
        <v>297</v>
      </c>
      <c r="B21" s="64" t="s">
        <v>298</v>
      </c>
      <c r="C21" s="74" t="s">
        <v>99</v>
      </c>
      <c r="D21" s="6">
        <f>SUM(D22:D28)</f>
        <v>62008.12633</v>
      </c>
      <c r="E21" s="6">
        <f>SUM(E22:E28)</f>
        <v>21838.1</v>
      </c>
      <c r="F21" s="6">
        <f>SUM(F22:F28)</f>
        <v>53677.42783</v>
      </c>
      <c r="G21" s="6">
        <f>SUM(G22:G28)</f>
        <v>53675.91383</v>
      </c>
      <c r="H21" s="5">
        <f t="shared" si="0"/>
        <v>-8330.698499999999</v>
      </c>
      <c r="I21" s="6">
        <f t="shared" si="1"/>
        <v>86.56515041969661</v>
      </c>
      <c r="J21" s="2"/>
      <c r="L21" s="37"/>
    </row>
    <row r="22" spans="1:12" ht="15.75">
      <c r="A22" s="17" t="s">
        <v>357</v>
      </c>
      <c r="B22" s="64" t="s">
        <v>356</v>
      </c>
      <c r="C22" s="74" t="s">
        <v>393</v>
      </c>
      <c r="D22" s="6">
        <v>22184.67331</v>
      </c>
      <c r="E22" s="6">
        <v>7100.2</v>
      </c>
      <c r="F22" s="5">
        <v>19306.14829</v>
      </c>
      <c r="G22" s="5">
        <f>F22-L21</f>
        <v>19306.14829</v>
      </c>
      <c r="H22" s="5">
        <f t="shared" si="0"/>
        <v>-2878.5250199999973</v>
      </c>
      <c r="I22" s="6">
        <f t="shared" si="1"/>
        <v>87.02471305402334</v>
      </c>
      <c r="J22" s="2"/>
      <c r="L22" s="37"/>
    </row>
    <row r="23" spans="1:12" ht="33" customHeight="1">
      <c r="A23" s="17"/>
      <c r="B23" s="64" t="s">
        <v>356</v>
      </c>
      <c r="C23" s="74" t="s">
        <v>126</v>
      </c>
      <c r="D23" s="6">
        <v>1.514</v>
      </c>
      <c r="E23" s="6"/>
      <c r="F23" s="5">
        <v>1.514</v>
      </c>
      <c r="G23" s="5"/>
      <c r="H23" s="5">
        <f t="shared" si="0"/>
        <v>0</v>
      </c>
      <c r="I23" s="6">
        <f t="shared" si="1"/>
        <v>100</v>
      </c>
      <c r="J23" s="2"/>
      <c r="L23" s="37"/>
    </row>
    <row r="24" spans="1:12" ht="15.75">
      <c r="A24" s="17" t="s">
        <v>359</v>
      </c>
      <c r="B24" s="64" t="s">
        <v>358</v>
      </c>
      <c r="C24" s="74" t="s">
        <v>394</v>
      </c>
      <c r="D24" s="6">
        <v>32445.65856</v>
      </c>
      <c r="E24" s="6">
        <v>12055.3</v>
      </c>
      <c r="F24" s="5">
        <v>28111.29225</v>
      </c>
      <c r="G24" s="5">
        <f>F24-L22</f>
        <v>28111.29225</v>
      </c>
      <c r="H24" s="5">
        <f t="shared" si="0"/>
        <v>-4334.366310000001</v>
      </c>
      <c r="I24" s="6">
        <f t="shared" si="1"/>
        <v>86.6411516906501</v>
      </c>
      <c r="J24" s="2"/>
      <c r="L24" s="37"/>
    </row>
    <row r="25" spans="1:12" ht="31.5">
      <c r="A25" s="17" t="s">
        <v>357</v>
      </c>
      <c r="B25" s="64" t="s">
        <v>457</v>
      </c>
      <c r="C25" s="74" t="s">
        <v>127</v>
      </c>
      <c r="D25" s="6">
        <v>254.946</v>
      </c>
      <c r="E25" s="6">
        <v>59.1</v>
      </c>
      <c r="F25" s="5">
        <v>254.94232</v>
      </c>
      <c r="G25" s="5">
        <f>F25-L24</f>
        <v>254.94232</v>
      </c>
      <c r="H25" s="5">
        <f t="shared" si="0"/>
        <v>-0.003680000000002792</v>
      </c>
      <c r="I25" s="6">
        <f t="shared" si="1"/>
        <v>99.99855655707483</v>
      </c>
      <c r="J25" s="2"/>
      <c r="L25" s="37"/>
    </row>
    <row r="26" spans="1:12" ht="21.75" customHeight="1">
      <c r="A26" s="17" t="s">
        <v>361</v>
      </c>
      <c r="B26" s="64" t="s">
        <v>360</v>
      </c>
      <c r="C26" s="74" t="s">
        <v>395</v>
      </c>
      <c r="D26" s="6">
        <v>3208.7795</v>
      </c>
      <c r="E26" s="6">
        <v>1069.7</v>
      </c>
      <c r="F26" s="5">
        <v>2765.52207</v>
      </c>
      <c r="G26" s="5">
        <f>F26-L25</f>
        <v>2765.52207</v>
      </c>
      <c r="H26" s="5">
        <f t="shared" si="0"/>
        <v>-443.2574300000001</v>
      </c>
      <c r="I26" s="6">
        <f t="shared" si="1"/>
        <v>86.18610502840721</v>
      </c>
      <c r="J26" s="2"/>
      <c r="L26" s="37"/>
    </row>
    <row r="27" spans="1:12" ht="19.5" customHeight="1" hidden="1">
      <c r="A27" s="17" t="s">
        <v>361</v>
      </c>
      <c r="B27" s="64" t="s">
        <v>360</v>
      </c>
      <c r="C27" s="74" t="s">
        <v>388</v>
      </c>
      <c r="D27" s="6"/>
      <c r="E27" s="6"/>
      <c r="F27" s="5"/>
      <c r="G27" s="5">
        <f>F27-L26</f>
        <v>0</v>
      </c>
      <c r="H27" s="5">
        <f t="shared" si="0"/>
        <v>0</v>
      </c>
      <c r="I27" s="6"/>
      <c r="J27" s="2"/>
      <c r="L27" s="37"/>
    </row>
    <row r="28" spans="1:12" ht="15.75">
      <c r="A28" s="17" t="s">
        <v>362</v>
      </c>
      <c r="B28" s="64" t="s">
        <v>363</v>
      </c>
      <c r="C28" s="74" t="s">
        <v>100</v>
      </c>
      <c r="D28" s="5">
        <f>SUM(D29:D35)</f>
        <v>3912.5549600000004</v>
      </c>
      <c r="E28" s="5">
        <f>SUM(E29:E35)</f>
        <v>1553.8000000000002</v>
      </c>
      <c r="F28" s="5">
        <f>SUM(F29:F35)</f>
        <v>3238.0089</v>
      </c>
      <c r="G28" s="5">
        <f>SUM(G29:G35)</f>
        <v>3238.0089</v>
      </c>
      <c r="H28" s="5">
        <f t="shared" si="0"/>
        <v>-674.5460600000006</v>
      </c>
      <c r="I28" s="6">
        <f aca="true" t="shared" si="2" ref="I28:I34">F28/D28*100</f>
        <v>82.75944831711705</v>
      </c>
      <c r="J28" s="2"/>
      <c r="L28" s="37"/>
    </row>
    <row r="29" spans="1:12" ht="24" customHeight="1">
      <c r="A29" s="17" t="s">
        <v>362</v>
      </c>
      <c r="B29" s="48" t="s">
        <v>375</v>
      </c>
      <c r="C29" s="18" t="s">
        <v>396</v>
      </c>
      <c r="D29" s="1">
        <v>637.106</v>
      </c>
      <c r="E29" s="1">
        <v>171.2</v>
      </c>
      <c r="F29" s="4">
        <v>543.32335</v>
      </c>
      <c r="G29" s="5">
        <f aca="true" t="shared" si="3" ref="G29:G35">F29-L28</f>
        <v>543.32335</v>
      </c>
      <c r="H29" s="4">
        <f t="shared" si="0"/>
        <v>-93.78264999999999</v>
      </c>
      <c r="I29" s="1">
        <f t="shared" si="2"/>
        <v>85.27989847843216</v>
      </c>
      <c r="J29" s="2"/>
      <c r="L29" s="37"/>
    </row>
    <row r="30" spans="1:12" ht="15.75">
      <c r="A30" s="17" t="s">
        <v>362</v>
      </c>
      <c r="B30" s="48" t="s">
        <v>376</v>
      </c>
      <c r="C30" s="18" t="s">
        <v>397</v>
      </c>
      <c r="D30" s="1">
        <v>1116.24175</v>
      </c>
      <c r="E30" s="1">
        <v>275.5</v>
      </c>
      <c r="F30" s="4">
        <v>959.49889</v>
      </c>
      <c r="G30" s="5">
        <f t="shared" si="3"/>
        <v>959.49889</v>
      </c>
      <c r="H30" s="4">
        <f t="shared" si="0"/>
        <v>-156.74285999999995</v>
      </c>
      <c r="I30" s="1">
        <f t="shared" si="2"/>
        <v>85.95798266818097</v>
      </c>
      <c r="J30" s="2"/>
      <c r="L30" s="37"/>
    </row>
    <row r="31" spans="1:12" ht="33" customHeight="1">
      <c r="A31" s="17" t="s">
        <v>362</v>
      </c>
      <c r="B31" s="48" t="s">
        <v>377</v>
      </c>
      <c r="C31" s="18" t="s">
        <v>398</v>
      </c>
      <c r="D31" s="1">
        <v>832.18721</v>
      </c>
      <c r="E31" s="1">
        <v>185</v>
      </c>
      <c r="F31" s="4">
        <v>736.28351</v>
      </c>
      <c r="G31" s="5">
        <f t="shared" si="3"/>
        <v>736.28351</v>
      </c>
      <c r="H31" s="4">
        <f t="shared" si="0"/>
        <v>-95.90370000000007</v>
      </c>
      <c r="I31" s="1">
        <f t="shared" si="2"/>
        <v>88.47570608541315</v>
      </c>
      <c r="J31" s="2"/>
      <c r="L31" s="37"/>
    </row>
    <row r="32" spans="1:12" ht="18.75" customHeight="1">
      <c r="A32" s="17" t="s">
        <v>362</v>
      </c>
      <c r="B32" s="48" t="s">
        <v>372</v>
      </c>
      <c r="C32" s="18" t="s">
        <v>399</v>
      </c>
      <c r="D32" s="1">
        <v>1044.269</v>
      </c>
      <c r="E32" s="1">
        <v>439.2</v>
      </c>
      <c r="F32" s="4">
        <v>918.11525</v>
      </c>
      <c r="G32" s="5">
        <f t="shared" si="3"/>
        <v>918.11525</v>
      </c>
      <c r="H32" s="4">
        <f t="shared" si="0"/>
        <v>-126.15375000000006</v>
      </c>
      <c r="I32" s="1">
        <f t="shared" si="2"/>
        <v>87.91942018771024</v>
      </c>
      <c r="J32" s="2"/>
      <c r="L32" s="37"/>
    </row>
    <row r="33" spans="1:12" ht="35.25" customHeight="1">
      <c r="A33" s="17" t="s">
        <v>362</v>
      </c>
      <c r="B33" s="48" t="s">
        <v>434</v>
      </c>
      <c r="C33" s="18" t="s">
        <v>128</v>
      </c>
      <c r="D33" s="1">
        <v>274.411</v>
      </c>
      <c r="E33" s="1">
        <v>76</v>
      </c>
      <c r="F33" s="4">
        <v>72.4479</v>
      </c>
      <c r="G33" s="5">
        <f t="shared" si="3"/>
        <v>72.4479</v>
      </c>
      <c r="H33" s="4">
        <f t="shared" si="0"/>
        <v>-201.9631</v>
      </c>
      <c r="I33" s="1">
        <f t="shared" si="2"/>
        <v>26.401237559718815</v>
      </c>
      <c r="J33" s="2"/>
      <c r="L33" s="37"/>
    </row>
    <row r="34" spans="1:12" ht="30" customHeight="1">
      <c r="A34" s="19" t="s">
        <v>362</v>
      </c>
      <c r="B34" s="49" t="s">
        <v>422</v>
      </c>
      <c r="C34" s="7" t="s">
        <v>423</v>
      </c>
      <c r="D34" s="1">
        <v>8.34</v>
      </c>
      <c r="E34" s="1">
        <v>4</v>
      </c>
      <c r="F34" s="4">
        <v>8.34</v>
      </c>
      <c r="G34" s="5">
        <f t="shared" si="3"/>
        <v>8.34</v>
      </c>
      <c r="H34" s="4">
        <f t="shared" si="0"/>
        <v>0</v>
      </c>
      <c r="I34" s="1">
        <f t="shared" si="2"/>
        <v>100</v>
      </c>
      <c r="J34" s="2"/>
      <c r="L34" s="37"/>
    </row>
    <row r="35" spans="1:12" ht="1.5" customHeight="1" hidden="1">
      <c r="A35" s="19" t="s">
        <v>362</v>
      </c>
      <c r="B35" s="49" t="s">
        <v>430</v>
      </c>
      <c r="C35" s="18" t="s">
        <v>460</v>
      </c>
      <c r="D35" s="1"/>
      <c r="E35" s="1">
        <v>402.9</v>
      </c>
      <c r="F35" s="4"/>
      <c r="G35" s="5">
        <f t="shared" si="3"/>
        <v>0</v>
      </c>
      <c r="H35" s="4"/>
      <c r="I35" s="1"/>
      <c r="J35" s="2"/>
      <c r="K35" s="2"/>
      <c r="L35" s="2"/>
    </row>
    <row r="36" spans="1:12" ht="15.75" hidden="1">
      <c r="A36" s="17" t="s">
        <v>400</v>
      </c>
      <c r="B36" s="48" t="s">
        <v>299</v>
      </c>
      <c r="C36" s="18" t="s">
        <v>401</v>
      </c>
      <c r="D36" s="1">
        <f>SUM(D37:D37)</f>
        <v>0</v>
      </c>
      <c r="E36" s="1">
        <f>SUM(E37:E37)</f>
        <v>0</v>
      </c>
      <c r="F36" s="1">
        <f>SUM(F37:F37)</f>
        <v>0</v>
      </c>
      <c r="G36" s="6">
        <f>SUM(G37:G37)</f>
        <v>0</v>
      </c>
      <c r="H36" s="4">
        <f aca="true" t="shared" si="4" ref="H36:H67">F36-D36</f>
        <v>0</v>
      </c>
      <c r="I36" s="1" t="e">
        <f aca="true" t="shared" si="5" ref="I36:I67">F36/D36*100</f>
        <v>#DIV/0!</v>
      </c>
      <c r="J36" s="2"/>
      <c r="L36" s="37"/>
    </row>
    <row r="37" spans="1:12" ht="47.25" hidden="1">
      <c r="A37" s="17" t="s">
        <v>345</v>
      </c>
      <c r="B37" s="48" t="s">
        <v>346</v>
      </c>
      <c r="C37" s="7" t="s">
        <v>426</v>
      </c>
      <c r="D37" s="1"/>
      <c r="E37" s="1"/>
      <c r="F37" s="4"/>
      <c r="G37" s="5">
        <f>F37-L36</f>
        <v>0</v>
      </c>
      <c r="H37" s="4">
        <f t="shared" si="4"/>
        <v>0</v>
      </c>
      <c r="I37" s="1" t="e">
        <f t="shared" si="5"/>
        <v>#DIV/0!</v>
      </c>
      <c r="J37" s="2"/>
      <c r="L37" s="2"/>
    </row>
    <row r="38" spans="1:12" ht="33.75" customHeight="1">
      <c r="A38" s="17" t="s">
        <v>402</v>
      </c>
      <c r="B38" s="64" t="s">
        <v>300</v>
      </c>
      <c r="C38" s="55" t="s">
        <v>101</v>
      </c>
      <c r="D38" s="6">
        <f>D39+D52+D91+D93+D104+D110+D60+D92</f>
        <v>36593.91665</v>
      </c>
      <c r="E38" s="6">
        <f>E39+E52+E91+E93+E104+E110+E60+E92</f>
        <v>5469.299999999999</v>
      </c>
      <c r="F38" s="6">
        <f>F39+F52+F60+F91+F92+F93+F104+F110</f>
        <v>31535.261</v>
      </c>
      <c r="G38" s="6" t="e">
        <f>G39+G52+G61+G62+#REF!+G83+G87+G90+G91+G93+G104+G111</f>
        <v>#REF!</v>
      </c>
      <c r="H38" s="5">
        <f t="shared" si="4"/>
        <v>-5058.655650000001</v>
      </c>
      <c r="I38" s="6">
        <f t="shared" si="5"/>
        <v>86.17623880388872</v>
      </c>
      <c r="J38" s="2"/>
      <c r="L38" s="2"/>
    </row>
    <row r="39" spans="1:12" ht="31.5">
      <c r="A39" s="17"/>
      <c r="B39" s="79" t="s">
        <v>440</v>
      </c>
      <c r="C39" s="74" t="s">
        <v>102</v>
      </c>
      <c r="D39" s="6">
        <f>SUM(D40:D51)</f>
        <v>3642.1720000000005</v>
      </c>
      <c r="E39" s="6">
        <f>SUM(E40:E51)</f>
        <v>1141.1</v>
      </c>
      <c r="F39" s="6">
        <f>SUM(F40:F51)</f>
        <v>2486.7448700000004</v>
      </c>
      <c r="G39" s="6">
        <f>SUM(G40:G50)</f>
        <v>2330.3271400000003</v>
      </c>
      <c r="H39" s="5">
        <f t="shared" si="4"/>
        <v>-1155.42713</v>
      </c>
      <c r="I39" s="6">
        <f t="shared" si="5"/>
        <v>68.27642598976655</v>
      </c>
      <c r="J39" s="2"/>
      <c r="L39" s="37"/>
    </row>
    <row r="40" spans="1:12" ht="78.75">
      <c r="A40" s="17" t="s">
        <v>301</v>
      </c>
      <c r="B40" s="64" t="s">
        <v>302</v>
      </c>
      <c r="C40" s="83" t="s">
        <v>239</v>
      </c>
      <c r="D40" s="6">
        <v>1600</v>
      </c>
      <c r="E40" s="6">
        <v>482.5</v>
      </c>
      <c r="F40" s="5">
        <v>991.01934</v>
      </c>
      <c r="G40" s="5">
        <f aca="true" t="shared" si="6" ref="G40:G50">F40-L39</f>
        <v>991.01934</v>
      </c>
      <c r="H40" s="5">
        <f t="shared" si="4"/>
        <v>-608.98066</v>
      </c>
      <c r="I40" s="6">
        <f t="shared" si="5"/>
        <v>61.93870875</v>
      </c>
      <c r="J40" s="2"/>
      <c r="L40" s="37"/>
    </row>
    <row r="41" spans="1:12" ht="78.75">
      <c r="A41" s="17" t="s">
        <v>301</v>
      </c>
      <c r="B41" s="64" t="s">
        <v>348</v>
      </c>
      <c r="C41" s="82" t="s">
        <v>239</v>
      </c>
      <c r="D41" s="6">
        <v>2.5202</v>
      </c>
      <c r="E41" s="6">
        <v>10.7</v>
      </c>
      <c r="F41" s="5">
        <v>2.1022</v>
      </c>
      <c r="G41" s="5">
        <f t="shared" si="6"/>
        <v>2.1022</v>
      </c>
      <c r="H41" s="5">
        <f t="shared" si="4"/>
        <v>-0.41800000000000015</v>
      </c>
      <c r="I41" s="6">
        <f t="shared" si="5"/>
        <v>83.41401476073327</v>
      </c>
      <c r="J41" s="2"/>
      <c r="L41" s="37"/>
    </row>
    <row r="42" spans="1:12" ht="78.75">
      <c r="A42" s="17" t="s">
        <v>301</v>
      </c>
      <c r="B42" s="64" t="s">
        <v>349</v>
      </c>
      <c r="C42" s="82" t="s">
        <v>240</v>
      </c>
      <c r="D42" s="6">
        <v>18</v>
      </c>
      <c r="E42" s="6">
        <v>105.6</v>
      </c>
      <c r="F42" s="5">
        <v>15.31529</v>
      </c>
      <c r="G42" s="5">
        <f t="shared" si="6"/>
        <v>15.31529</v>
      </c>
      <c r="H42" s="5">
        <f t="shared" si="4"/>
        <v>-2.684710000000001</v>
      </c>
      <c r="I42" s="6">
        <f t="shared" si="5"/>
        <v>85.08494444444445</v>
      </c>
      <c r="J42" s="2"/>
      <c r="L42" s="37"/>
    </row>
    <row r="43" spans="1:12" ht="78.75">
      <c r="A43" s="17" t="s">
        <v>301</v>
      </c>
      <c r="B43" s="64" t="s">
        <v>350</v>
      </c>
      <c r="C43" s="84" t="s">
        <v>241</v>
      </c>
      <c r="D43" s="6">
        <v>396.8</v>
      </c>
      <c r="E43" s="6">
        <v>108.4</v>
      </c>
      <c r="F43" s="5">
        <v>284.53252</v>
      </c>
      <c r="G43" s="5">
        <f t="shared" si="6"/>
        <v>284.53252</v>
      </c>
      <c r="H43" s="5">
        <f t="shared" si="4"/>
        <v>-112.26748000000003</v>
      </c>
      <c r="I43" s="6">
        <f t="shared" si="5"/>
        <v>71.70678427419354</v>
      </c>
      <c r="J43" s="2"/>
      <c r="L43" s="37"/>
    </row>
    <row r="44" spans="1:12" ht="67.5" customHeight="1" hidden="1">
      <c r="A44" s="17" t="s">
        <v>301</v>
      </c>
      <c r="B44" s="64" t="s">
        <v>429</v>
      </c>
      <c r="C44" s="81" t="s">
        <v>11</v>
      </c>
      <c r="D44" s="6">
        <v>0</v>
      </c>
      <c r="E44" s="6">
        <v>0.2</v>
      </c>
      <c r="F44" s="5">
        <v>0</v>
      </c>
      <c r="G44" s="5">
        <f t="shared" si="6"/>
        <v>0</v>
      </c>
      <c r="H44" s="5">
        <f t="shared" si="4"/>
        <v>0</v>
      </c>
      <c r="I44" s="6" t="e">
        <f t="shared" si="5"/>
        <v>#DIV/0!</v>
      </c>
      <c r="J44" s="2"/>
      <c r="L44" s="37"/>
    </row>
    <row r="45" spans="1:12" ht="0.75" customHeight="1" hidden="1">
      <c r="A45" s="17" t="s">
        <v>301</v>
      </c>
      <c r="B45" s="64" t="s">
        <v>387</v>
      </c>
      <c r="C45" s="63" t="s">
        <v>6</v>
      </c>
      <c r="D45" s="6"/>
      <c r="E45" s="6">
        <v>5</v>
      </c>
      <c r="F45" s="5"/>
      <c r="G45" s="5">
        <f t="shared" si="6"/>
        <v>0</v>
      </c>
      <c r="H45" s="5">
        <f t="shared" si="4"/>
        <v>0</v>
      </c>
      <c r="I45" s="6" t="e">
        <f t="shared" si="5"/>
        <v>#DIV/0!</v>
      </c>
      <c r="J45" s="2"/>
      <c r="L45" s="37"/>
    </row>
    <row r="46" spans="1:12" ht="77.25" customHeight="1">
      <c r="A46" s="17" t="s">
        <v>326</v>
      </c>
      <c r="B46" s="64" t="s">
        <v>368</v>
      </c>
      <c r="C46" s="83" t="s">
        <v>142</v>
      </c>
      <c r="D46" s="6">
        <v>1000</v>
      </c>
      <c r="E46" s="6">
        <v>286.4</v>
      </c>
      <c r="F46" s="5">
        <v>716.656</v>
      </c>
      <c r="G46" s="5">
        <f t="shared" si="6"/>
        <v>716.656</v>
      </c>
      <c r="H46" s="5">
        <f t="shared" si="4"/>
        <v>-283.34400000000005</v>
      </c>
      <c r="I46" s="6">
        <f t="shared" si="5"/>
        <v>71.6656</v>
      </c>
      <c r="J46" s="2"/>
      <c r="L46" s="37"/>
    </row>
    <row r="47" spans="1:12" ht="73.5" customHeight="1">
      <c r="A47" s="17" t="s">
        <v>326</v>
      </c>
      <c r="B47" s="64" t="s">
        <v>433</v>
      </c>
      <c r="C47" s="82" t="s">
        <v>143</v>
      </c>
      <c r="D47" s="6">
        <v>0.4978</v>
      </c>
      <c r="E47" s="6">
        <v>0.3</v>
      </c>
      <c r="F47" s="5">
        <v>0.4978</v>
      </c>
      <c r="G47" s="5">
        <f t="shared" si="6"/>
        <v>0.4978</v>
      </c>
      <c r="H47" s="5">
        <f t="shared" si="4"/>
        <v>0</v>
      </c>
      <c r="I47" s="6">
        <f t="shared" si="5"/>
        <v>100</v>
      </c>
      <c r="J47" s="2"/>
      <c r="L47" s="37"/>
    </row>
    <row r="48" spans="1:12" ht="67.5" customHeight="1">
      <c r="A48" s="17" t="s">
        <v>326</v>
      </c>
      <c r="B48" s="64" t="s">
        <v>369</v>
      </c>
      <c r="C48" s="82" t="s">
        <v>144</v>
      </c>
      <c r="D48" s="6">
        <v>32.5</v>
      </c>
      <c r="E48" s="6">
        <v>56.5</v>
      </c>
      <c r="F48" s="5">
        <v>23.98456</v>
      </c>
      <c r="G48" s="5">
        <f t="shared" si="6"/>
        <v>23.98456</v>
      </c>
      <c r="H48" s="5">
        <f t="shared" si="4"/>
        <v>-8.515440000000002</v>
      </c>
      <c r="I48" s="6">
        <f t="shared" si="5"/>
        <v>73.79864615384615</v>
      </c>
      <c r="J48" s="2"/>
      <c r="L48" s="37"/>
    </row>
    <row r="49" spans="1:12" ht="48.75" customHeight="1">
      <c r="A49" s="17" t="s">
        <v>326</v>
      </c>
      <c r="B49" s="64" t="s">
        <v>439</v>
      </c>
      <c r="C49" s="82" t="s">
        <v>145</v>
      </c>
      <c r="D49" s="6">
        <v>172.3</v>
      </c>
      <c r="E49" s="6">
        <v>50.6</v>
      </c>
      <c r="F49" s="5">
        <v>151.16871</v>
      </c>
      <c r="G49" s="5">
        <f t="shared" si="6"/>
        <v>151.16871</v>
      </c>
      <c r="H49" s="5">
        <f t="shared" si="4"/>
        <v>-21.131290000000007</v>
      </c>
      <c r="I49" s="6">
        <f t="shared" si="5"/>
        <v>87.73575739988392</v>
      </c>
      <c r="J49" s="2"/>
      <c r="L49" s="37"/>
    </row>
    <row r="50" spans="1:12" ht="31.5">
      <c r="A50" s="17" t="s">
        <v>326</v>
      </c>
      <c r="B50" s="64" t="s">
        <v>459</v>
      </c>
      <c r="C50" s="82" t="s">
        <v>146</v>
      </c>
      <c r="D50" s="6">
        <v>199.554</v>
      </c>
      <c r="E50" s="6">
        <v>34.9</v>
      </c>
      <c r="F50" s="5">
        <v>145.05072</v>
      </c>
      <c r="G50" s="5">
        <f t="shared" si="6"/>
        <v>145.05072</v>
      </c>
      <c r="H50" s="5">
        <f t="shared" si="4"/>
        <v>-54.50327999999999</v>
      </c>
      <c r="I50" s="6">
        <f t="shared" si="5"/>
        <v>72.68745302023513</v>
      </c>
      <c r="J50" s="2"/>
      <c r="K50" s="2"/>
      <c r="L50" s="2"/>
    </row>
    <row r="51" spans="1:12" ht="18.75" customHeight="1">
      <c r="A51" s="17" t="s">
        <v>326</v>
      </c>
      <c r="B51" s="64" t="s">
        <v>14</v>
      </c>
      <c r="C51" s="83" t="s">
        <v>147</v>
      </c>
      <c r="D51" s="6">
        <v>220</v>
      </c>
      <c r="E51" s="6"/>
      <c r="F51" s="5">
        <v>156.41773</v>
      </c>
      <c r="G51" s="5"/>
      <c r="H51" s="5">
        <f t="shared" si="4"/>
        <v>-63.582269999999994</v>
      </c>
      <c r="I51" s="6">
        <f t="shared" si="5"/>
        <v>71.0989681818182</v>
      </c>
      <c r="J51" s="2"/>
      <c r="K51" s="2"/>
      <c r="L51" s="2"/>
    </row>
    <row r="52" spans="1:12" ht="31.5">
      <c r="A52" s="17"/>
      <c r="B52" s="79" t="s">
        <v>441</v>
      </c>
      <c r="C52" s="63" t="s">
        <v>103</v>
      </c>
      <c r="D52" s="6">
        <f>SUM(D53:D59)</f>
        <v>24576.229440000003</v>
      </c>
      <c r="E52" s="6">
        <f>SUM(E53:E59)</f>
        <v>1842.6999999999998</v>
      </c>
      <c r="F52" s="6">
        <f>SUM(F53:F59)</f>
        <v>21817.753780000003</v>
      </c>
      <c r="G52" s="6">
        <f>SUM(G53:G57)</f>
        <v>21307.278430000002</v>
      </c>
      <c r="H52" s="5">
        <f t="shared" si="4"/>
        <v>-2758.47566</v>
      </c>
      <c r="I52" s="6">
        <f t="shared" si="5"/>
        <v>88.77583859340793</v>
      </c>
      <c r="J52" s="2"/>
      <c r="L52" s="38"/>
    </row>
    <row r="53" spans="1:12" ht="19.5" customHeight="1">
      <c r="A53" s="17" t="s">
        <v>304</v>
      </c>
      <c r="B53" s="64" t="s">
        <v>351</v>
      </c>
      <c r="C53" s="55" t="s">
        <v>148</v>
      </c>
      <c r="D53" s="6">
        <v>289.136</v>
      </c>
      <c r="E53" s="6">
        <v>73.9</v>
      </c>
      <c r="F53" s="5">
        <v>268.12163</v>
      </c>
      <c r="G53" s="5">
        <f aca="true" t="shared" si="7" ref="G53:G58">F53-L52</f>
        <v>268.12163</v>
      </c>
      <c r="H53" s="5">
        <f t="shared" si="4"/>
        <v>-21.014370000000042</v>
      </c>
      <c r="I53" s="6">
        <f t="shared" si="5"/>
        <v>92.73201192518398</v>
      </c>
      <c r="J53" s="2"/>
      <c r="L53" s="37"/>
    </row>
    <row r="54" spans="1:12" ht="19.5" customHeight="1">
      <c r="A54" s="17" t="s">
        <v>304</v>
      </c>
      <c r="B54" s="64" t="s">
        <v>352</v>
      </c>
      <c r="C54" s="55" t="s">
        <v>149</v>
      </c>
      <c r="D54" s="6">
        <v>4274.923</v>
      </c>
      <c r="E54" s="6">
        <v>616.3</v>
      </c>
      <c r="F54" s="5">
        <v>3684.74249</v>
      </c>
      <c r="G54" s="5">
        <f t="shared" si="7"/>
        <v>3684.74249</v>
      </c>
      <c r="H54" s="5">
        <f t="shared" si="4"/>
        <v>-590.1805099999997</v>
      </c>
      <c r="I54" s="6">
        <f t="shared" si="5"/>
        <v>86.19435929021412</v>
      </c>
      <c r="J54" s="2"/>
      <c r="L54" s="37"/>
    </row>
    <row r="55" spans="1:12" ht="18.75" customHeight="1">
      <c r="A55" s="17" t="s">
        <v>304</v>
      </c>
      <c r="B55" s="64" t="s">
        <v>353</v>
      </c>
      <c r="C55" s="55" t="s">
        <v>150</v>
      </c>
      <c r="D55" s="6">
        <v>15316.53858</v>
      </c>
      <c r="E55" s="6">
        <v>640.5</v>
      </c>
      <c r="F55" s="5">
        <v>13563.61056</v>
      </c>
      <c r="G55" s="5">
        <f t="shared" si="7"/>
        <v>13563.61056</v>
      </c>
      <c r="H55" s="5">
        <f t="shared" si="4"/>
        <v>-1752.9280200000012</v>
      </c>
      <c r="I55" s="6">
        <f t="shared" si="5"/>
        <v>88.5553252724546</v>
      </c>
      <c r="J55" s="2"/>
      <c r="L55" s="37"/>
    </row>
    <row r="56" spans="1:12" ht="31.5">
      <c r="A56" s="17" t="s">
        <v>304</v>
      </c>
      <c r="B56" s="64" t="s">
        <v>354</v>
      </c>
      <c r="C56" s="55" t="s">
        <v>151</v>
      </c>
      <c r="D56" s="6">
        <v>1785.38699</v>
      </c>
      <c r="E56" s="6">
        <v>137.2</v>
      </c>
      <c r="F56" s="5">
        <v>1580.88042</v>
      </c>
      <c r="G56" s="5">
        <f t="shared" si="7"/>
        <v>1580.88042</v>
      </c>
      <c r="H56" s="5">
        <f t="shared" si="4"/>
        <v>-204.50657</v>
      </c>
      <c r="I56" s="6">
        <f t="shared" si="5"/>
        <v>88.54553264107744</v>
      </c>
      <c r="J56" s="2"/>
      <c r="L56" s="37"/>
    </row>
    <row r="57" spans="1:12" ht="18.75" customHeight="1">
      <c r="A57" s="17" t="s">
        <v>304</v>
      </c>
      <c r="B57" s="64" t="s">
        <v>355</v>
      </c>
      <c r="C57" s="55" t="s">
        <v>152</v>
      </c>
      <c r="D57" s="6">
        <v>2356.144</v>
      </c>
      <c r="E57" s="6">
        <v>336.9</v>
      </c>
      <c r="F57" s="5">
        <v>2209.92333</v>
      </c>
      <c r="G57" s="5">
        <f t="shared" si="7"/>
        <v>2209.92333</v>
      </c>
      <c r="H57" s="5">
        <f t="shared" si="4"/>
        <v>-146.2206699999997</v>
      </c>
      <c r="I57" s="6">
        <f t="shared" si="5"/>
        <v>93.79406903822517</v>
      </c>
      <c r="J57" s="2"/>
      <c r="L57" s="37"/>
    </row>
    <row r="58" spans="1:12" ht="20.25" customHeight="1">
      <c r="A58" s="17" t="s">
        <v>304</v>
      </c>
      <c r="B58" s="64" t="s">
        <v>436</v>
      </c>
      <c r="C58" s="55" t="s">
        <v>153</v>
      </c>
      <c r="D58" s="6">
        <v>496.63</v>
      </c>
      <c r="E58" s="6">
        <v>37.9</v>
      </c>
      <c r="F58" s="5">
        <v>456.79448</v>
      </c>
      <c r="G58" s="5">
        <f t="shared" si="7"/>
        <v>456.79448</v>
      </c>
      <c r="H58" s="5">
        <f t="shared" si="4"/>
        <v>-39.835519999999974</v>
      </c>
      <c r="I58" s="6">
        <f t="shared" si="5"/>
        <v>91.97883333668929</v>
      </c>
      <c r="J58" s="2"/>
      <c r="L58" s="37"/>
    </row>
    <row r="59" spans="1:12" ht="17.25" customHeight="1">
      <c r="A59" s="17" t="s">
        <v>304</v>
      </c>
      <c r="B59" s="64" t="s">
        <v>13</v>
      </c>
      <c r="C59" s="55" t="s">
        <v>154</v>
      </c>
      <c r="D59" s="6">
        <v>57.47087</v>
      </c>
      <c r="E59" s="6"/>
      <c r="F59" s="5">
        <v>53.68087</v>
      </c>
      <c r="G59" s="5"/>
      <c r="H59" s="5">
        <f t="shared" si="4"/>
        <v>-3.789999999999999</v>
      </c>
      <c r="I59" s="6">
        <f t="shared" si="5"/>
        <v>93.40535474754428</v>
      </c>
      <c r="J59" s="2"/>
      <c r="L59" s="37"/>
    </row>
    <row r="60" spans="1:12" ht="18" customHeight="1">
      <c r="A60" s="17"/>
      <c r="B60" s="64" t="s">
        <v>461</v>
      </c>
      <c r="C60" s="63" t="s">
        <v>104</v>
      </c>
      <c r="D60" s="6">
        <f>D61+D62+D64+D83+D87+D90+D66+D88+D89+D65+D81+D63+D82+D84+D85+D86</f>
        <v>2874.2863899999998</v>
      </c>
      <c r="E60" s="6">
        <f>E61+E62+E64+E83+E87+E90+E66+E88+E89+E65+E81+E63+E82+E84+E85+E86</f>
        <v>949.1999999999999</v>
      </c>
      <c r="F60" s="6">
        <f>F61+F62+F64+F83+F87+F90+F66+F88+F89+F65+F81+F63+F82+F84+F85+F86</f>
        <v>2490.6855600000004</v>
      </c>
      <c r="G60" s="6">
        <f>G61+G62+G64+G83+G87+G90+G66+G88+G89+G65+G81</f>
        <v>2315.8382600000004</v>
      </c>
      <c r="H60" s="5">
        <f t="shared" si="4"/>
        <v>-383.6008299999994</v>
      </c>
      <c r="I60" s="6">
        <f t="shared" si="5"/>
        <v>86.6540498074724</v>
      </c>
      <c r="J60" s="2"/>
      <c r="L60" s="37"/>
    </row>
    <row r="61" spans="1:12" ht="30.75" customHeight="1">
      <c r="A61" s="17" t="s">
        <v>304</v>
      </c>
      <c r="B61" s="64" t="s">
        <v>305</v>
      </c>
      <c r="C61" s="55" t="s">
        <v>155</v>
      </c>
      <c r="D61" s="6">
        <v>1070.31356</v>
      </c>
      <c r="E61" s="6">
        <v>256.9</v>
      </c>
      <c r="F61" s="5">
        <v>1065.04618</v>
      </c>
      <c r="G61" s="5">
        <f>F61-L60</f>
        <v>1065.04618</v>
      </c>
      <c r="H61" s="5">
        <f t="shared" si="4"/>
        <v>-5.267380000000003</v>
      </c>
      <c r="I61" s="6">
        <f t="shared" si="5"/>
        <v>99.50786571366993</v>
      </c>
      <c r="J61" s="2"/>
      <c r="L61" s="37"/>
    </row>
    <row r="62" spans="1:12" ht="48" customHeight="1">
      <c r="A62" s="17" t="s">
        <v>303</v>
      </c>
      <c r="B62" s="64" t="s">
        <v>336</v>
      </c>
      <c r="C62" s="55" t="s">
        <v>156</v>
      </c>
      <c r="D62" s="6">
        <v>520</v>
      </c>
      <c r="E62" s="6">
        <v>28.4</v>
      </c>
      <c r="F62" s="5">
        <v>396.61535</v>
      </c>
      <c r="G62" s="5">
        <f>F62-L61</f>
        <v>396.61535</v>
      </c>
      <c r="H62" s="5">
        <f t="shared" si="4"/>
        <v>-123.38465000000002</v>
      </c>
      <c r="I62" s="6">
        <f t="shared" si="5"/>
        <v>76.2721826923077</v>
      </c>
      <c r="J62" s="2"/>
      <c r="L62" s="2"/>
    </row>
    <row r="63" spans="1:12" ht="47.25">
      <c r="A63" s="17"/>
      <c r="B63" s="64" t="s">
        <v>41</v>
      </c>
      <c r="C63" s="55" t="s">
        <v>157</v>
      </c>
      <c r="D63" s="6">
        <v>0.082</v>
      </c>
      <c r="E63" s="6"/>
      <c r="F63" s="6">
        <v>0</v>
      </c>
      <c r="G63" s="5"/>
      <c r="H63" s="5">
        <f t="shared" si="4"/>
        <v>-0.082</v>
      </c>
      <c r="I63" s="6">
        <f t="shared" si="5"/>
        <v>0</v>
      </c>
      <c r="J63" s="2"/>
      <c r="L63" s="2"/>
    </row>
    <row r="64" spans="1:12" ht="34.5" customHeight="1">
      <c r="A64" s="17" t="s">
        <v>308</v>
      </c>
      <c r="B64" s="64" t="s">
        <v>309</v>
      </c>
      <c r="C64" s="74" t="s">
        <v>158</v>
      </c>
      <c r="D64" s="6">
        <v>906.95942</v>
      </c>
      <c r="E64" s="6">
        <v>605.1</v>
      </c>
      <c r="F64" s="6">
        <v>712.02934</v>
      </c>
      <c r="G64" s="5">
        <f>F64-L63</f>
        <v>712.02934</v>
      </c>
      <c r="H64" s="5">
        <f t="shared" si="4"/>
        <v>-194.93007999999998</v>
      </c>
      <c r="I64" s="6">
        <f t="shared" si="5"/>
        <v>78.5072985955645</v>
      </c>
      <c r="J64" s="2"/>
      <c r="L64" s="39"/>
    </row>
    <row r="65" spans="1:12" ht="31.5">
      <c r="A65" s="17" t="s">
        <v>308</v>
      </c>
      <c r="B65" s="64" t="s">
        <v>309</v>
      </c>
      <c r="C65" s="74" t="s">
        <v>159</v>
      </c>
      <c r="D65" s="6">
        <v>37.486</v>
      </c>
      <c r="E65" s="6"/>
      <c r="F65" s="6">
        <v>35.2854</v>
      </c>
      <c r="G65" s="5"/>
      <c r="H65" s="5">
        <f t="shared" si="4"/>
        <v>-2.2005999999999943</v>
      </c>
      <c r="I65" s="6">
        <f t="shared" si="5"/>
        <v>94.12954169556636</v>
      </c>
      <c r="J65" s="2"/>
      <c r="L65" s="39"/>
    </row>
    <row r="66" spans="1:12" ht="33" customHeight="1">
      <c r="A66" s="17" t="s">
        <v>308</v>
      </c>
      <c r="B66" s="64" t="s">
        <v>309</v>
      </c>
      <c r="C66" s="74" t="s">
        <v>160</v>
      </c>
      <c r="D66" s="6">
        <v>90</v>
      </c>
      <c r="E66" s="6">
        <v>13</v>
      </c>
      <c r="F66" s="5">
        <v>74.92087</v>
      </c>
      <c r="G66" s="5">
        <f>F66-L64</f>
        <v>74.92087</v>
      </c>
      <c r="H66" s="5">
        <f t="shared" si="4"/>
        <v>-15.079130000000006</v>
      </c>
      <c r="I66" s="6">
        <f t="shared" si="5"/>
        <v>83.2454111111111</v>
      </c>
      <c r="J66" s="2"/>
      <c r="L66" s="39"/>
    </row>
    <row r="67" spans="1:12" ht="30" customHeight="1" hidden="1">
      <c r="A67" s="17" t="s">
        <v>308</v>
      </c>
      <c r="B67" s="64" t="s">
        <v>309</v>
      </c>
      <c r="C67" s="74" t="s">
        <v>77</v>
      </c>
      <c r="D67" s="6"/>
      <c r="E67" s="6">
        <v>13</v>
      </c>
      <c r="F67" s="5"/>
      <c r="G67" s="5">
        <f aca="true" t="shared" si="8" ref="G67:G80">F67-L66</f>
        <v>0</v>
      </c>
      <c r="H67" s="5">
        <f t="shared" si="4"/>
        <v>0</v>
      </c>
      <c r="I67" s="6" t="e">
        <f t="shared" si="5"/>
        <v>#DIV/0!</v>
      </c>
      <c r="J67" s="2"/>
      <c r="L67" s="39"/>
    </row>
    <row r="68" spans="1:12" ht="30.75" customHeight="1" hidden="1">
      <c r="A68" s="17" t="s">
        <v>308</v>
      </c>
      <c r="B68" s="64" t="s">
        <v>309</v>
      </c>
      <c r="C68" s="74" t="s">
        <v>410</v>
      </c>
      <c r="D68" s="6"/>
      <c r="E68" s="6">
        <v>5</v>
      </c>
      <c r="F68" s="5"/>
      <c r="G68" s="5">
        <f t="shared" si="8"/>
        <v>0</v>
      </c>
      <c r="H68" s="5">
        <f aca="true" t="shared" si="9" ref="H68:H92">F68-D68</f>
        <v>0</v>
      </c>
      <c r="I68" s="6" t="e">
        <f aca="true" t="shared" si="10" ref="I68:I102">F68/D68*100</f>
        <v>#DIV/0!</v>
      </c>
      <c r="J68" s="2"/>
      <c r="L68" s="39"/>
    </row>
    <row r="69" spans="1:12" ht="31.5" customHeight="1" hidden="1">
      <c r="A69" s="17" t="s">
        <v>308</v>
      </c>
      <c r="B69" s="64" t="s">
        <v>309</v>
      </c>
      <c r="C69" s="74" t="s">
        <v>386</v>
      </c>
      <c r="D69" s="6"/>
      <c r="E69" s="6">
        <v>3</v>
      </c>
      <c r="F69" s="5"/>
      <c r="G69" s="5">
        <f t="shared" si="8"/>
        <v>0</v>
      </c>
      <c r="H69" s="5">
        <f t="shared" si="9"/>
        <v>0</v>
      </c>
      <c r="I69" s="6" t="e">
        <f t="shared" si="10"/>
        <v>#DIV/0!</v>
      </c>
      <c r="J69" s="2"/>
      <c r="L69" s="39"/>
    </row>
    <row r="70" spans="1:12" ht="33" customHeight="1" hidden="1">
      <c r="A70" s="17" t="s">
        <v>308</v>
      </c>
      <c r="B70" s="64" t="s">
        <v>309</v>
      </c>
      <c r="C70" s="74" t="s">
        <v>381</v>
      </c>
      <c r="D70" s="6"/>
      <c r="E70" s="6">
        <v>5</v>
      </c>
      <c r="F70" s="5"/>
      <c r="G70" s="5">
        <f t="shared" si="8"/>
        <v>0</v>
      </c>
      <c r="H70" s="5">
        <f t="shared" si="9"/>
        <v>0</v>
      </c>
      <c r="I70" s="6" t="e">
        <f t="shared" si="10"/>
        <v>#DIV/0!</v>
      </c>
      <c r="J70" s="2"/>
      <c r="L70" s="39"/>
    </row>
    <row r="71" spans="1:12" ht="29.25" customHeight="1" hidden="1">
      <c r="A71" s="17" t="s">
        <v>308</v>
      </c>
      <c r="B71" s="64" t="s">
        <v>309</v>
      </c>
      <c r="C71" s="74" t="s">
        <v>403</v>
      </c>
      <c r="D71" s="6"/>
      <c r="E71" s="6">
        <v>5</v>
      </c>
      <c r="F71" s="5"/>
      <c r="G71" s="5">
        <f t="shared" si="8"/>
        <v>0</v>
      </c>
      <c r="H71" s="5">
        <f t="shared" si="9"/>
        <v>0</v>
      </c>
      <c r="I71" s="6" t="e">
        <f t="shared" si="10"/>
        <v>#DIV/0!</v>
      </c>
      <c r="J71" s="2"/>
      <c r="L71" s="39"/>
    </row>
    <row r="72" spans="1:12" ht="31.5" customHeight="1" hidden="1">
      <c r="A72" s="17" t="s">
        <v>308</v>
      </c>
      <c r="B72" s="64" t="s">
        <v>309</v>
      </c>
      <c r="C72" s="74" t="s">
        <v>379</v>
      </c>
      <c r="D72" s="6"/>
      <c r="E72" s="6">
        <v>45</v>
      </c>
      <c r="F72" s="5"/>
      <c r="G72" s="5">
        <f t="shared" si="8"/>
        <v>0</v>
      </c>
      <c r="H72" s="5">
        <f t="shared" si="9"/>
        <v>0</v>
      </c>
      <c r="I72" s="6" t="e">
        <f t="shared" si="10"/>
        <v>#DIV/0!</v>
      </c>
      <c r="J72" s="2"/>
      <c r="L72" s="39"/>
    </row>
    <row r="73" spans="1:12" ht="30" customHeight="1" hidden="1">
      <c r="A73" s="17" t="s">
        <v>308</v>
      </c>
      <c r="B73" s="64" t="s">
        <v>309</v>
      </c>
      <c r="C73" s="74" t="s">
        <v>390</v>
      </c>
      <c r="D73" s="6"/>
      <c r="E73" s="6">
        <v>36</v>
      </c>
      <c r="F73" s="5"/>
      <c r="G73" s="5">
        <f t="shared" si="8"/>
        <v>0</v>
      </c>
      <c r="H73" s="5">
        <f t="shared" si="9"/>
        <v>0</v>
      </c>
      <c r="I73" s="6" t="e">
        <f t="shared" si="10"/>
        <v>#DIV/0!</v>
      </c>
      <c r="J73" s="2"/>
      <c r="L73" s="39"/>
    </row>
    <row r="74" spans="1:12" ht="33.75" customHeight="1" hidden="1">
      <c r="A74" s="17" t="s">
        <v>308</v>
      </c>
      <c r="B74" s="64" t="s">
        <v>309</v>
      </c>
      <c r="C74" s="74" t="s">
        <v>380</v>
      </c>
      <c r="D74" s="6"/>
      <c r="E74" s="6">
        <v>4.5</v>
      </c>
      <c r="F74" s="5"/>
      <c r="G74" s="5">
        <f t="shared" si="8"/>
        <v>0</v>
      </c>
      <c r="H74" s="5">
        <f t="shared" si="9"/>
        <v>0</v>
      </c>
      <c r="I74" s="6" t="e">
        <f t="shared" si="10"/>
        <v>#DIV/0!</v>
      </c>
      <c r="J74" s="2"/>
      <c r="L74" s="39"/>
    </row>
    <row r="75" spans="1:12" ht="33" customHeight="1" hidden="1">
      <c r="A75" s="17" t="s">
        <v>308</v>
      </c>
      <c r="B75" s="64" t="s">
        <v>309</v>
      </c>
      <c r="C75" s="63" t="s">
        <v>411</v>
      </c>
      <c r="D75" s="6"/>
      <c r="E75" s="6">
        <v>6</v>
      </c>
      <c r="F75" s="5"/>
      <c r="G75" s="5">
        <f t="shared" si="8"/>
        <v>0</v>
      </c>
      <c r="H75" s="5">
        <f t="shared" si="9"/>
        <v>0</v>
      </c>
      <c r="I75" s="6" t="e">
        <f t="shared" si="10"/>
        <v>#DIV/0!</v>
      </c>
      <c r="J75" s="2"/>
      <c r="L75" s="39"/>
    </row>
    <row r="76" spans="1:12" ht="33.75" customHeight="1" hidden="1">
      <c r="A76" s="17" t="s">
        <v>308</v>
      </c>
      <c r="B76" s="64" t="s">
        <v>309</v>
      </c>
      <c r="C76" s="74" t="s">
        <v>378</v>
      </c>
      <c r="D76" s="6"/>
      <c r="E76" s="6">
        <v>15</v>
      </c>
      <c r="F76" s="5"/>
      <c r="G76" s="5">
        <f t="shared" si="8"/>
        <v>0</v>
      </c>
      <c r="H76" s="5">
        <f t="shared" si="9"/>
        <v>0</v>
      </c>
      <c r="I76" s="6" t="e">
        <f t="shared" si="10"/>
        <v>#DIV/0!</v>
      </c>
      <c r="J76" s="2"/>
      <c r="L76" s="39"/>
    </row>
    <row r="77" spans="1:12" ht="36.75" customHeight="1" hidden="1">
      <c r="A77" s="17" t="s">
        <v>308</v>
      </c>
      <c r="B77" s="64" t="s">
        <v>309</v>
      </c>
      <c r="C77" s="74" t="s">
        <v>408</v>
      </c>
      <c r="D77" s="6"/>
      <c r="E77" s="6">
        <v>70</v>
      </c>
      <c r="F77" s="5"/>
      <c r="G77" s="5">
        <f t="shared" si="8"/>
        <v>0</v>
      </c>
      <c r="H77" s="5">
        <f t="shared" si="9"/>
        <v>0</v>
      </c>
      <c r="I77" s="6" t="e">
        <f t="shared" si="10"/>
        <v>#DIV/0!</v>
      </c>
      <c r="J77" s="2"/>
      <c r="L77" s="39"/>
    </row>
    <row r="78" spans="1:12" ht="39" customHeight="1" hidden="1">
      <c r="A78" s="17" t="s">
        <v>308</v>
      </c>
      <c r="B78" s="64" t="s">
        <v>309</v>
      </c>
      <c r="C78" s="74" t="s">
        <v>407</v>
      </c>
      <c r="D78" s="6"/>
      <c r="E78" s="6">
        <v>40</v>
      </c>
      <c r="F78" s="5"/>
      <c r="G78" s="5">
        <f t="shared" si="8"/>
        <v>0</v>
      </c>
      <c r="H78" s="5">
        <f t="shared" si="9"/>
        <v>0</v>
      </c>
      <c r="I78" s="6" t="e">
        <f t="shared" si="10"/>
        <v>#DIV/0!</v>
      </c>
      <c r="J78" s="2"/>
      <c r="L78" s="39"/>
    </row>
    <row r="79" spans="1:12" ht="42.75" customHeight="1" hidden="1">
      <c r="A79" s="17" t="s">
        <v>308</v>
      </c>
      <c r="B79" s="64" t="s">
        <v>309</v>
      </c>
      <c r="C79" s="74" t="s">
        <v>385</v>
      </c>
      <c r="D79" s="6"/>
      <c r="E79" s="6">
        <v>6</v>
      </c>
      <c r="F79" s="5"/>
      <c r="G79" s="5">
        <f t="shared" si="8"/>
        <v>0</v>
      </c>
      <c r="H79" s="5">
        <f t="shared" si="9"/>
        <v>0</v>
      </c>
      <c r="I79" s="6" t="e">
        <f t="shared" si="10"/>
        <v>#DIV/0!</v>
      </c>
      <c r="J79" s="2"/>
      <c r="L79" s="39"/>
    </row>
    <row r="80" spans="1:12" ht="44.25" customHeight="1" hidden="1">
      <c r="A80" s="17" t="s">
        <v>308</v>
      </c>
      <c r="B80" s="64" t="s">
        <v>309</v>
      </c>
      <c r="C80" s="63" t="s">
        <v>409</v>
      </c>
      <c r="D80" s="6"/>
      <c r="E80" s="6">
        <v>20</v>
      </c>
      <c r="F80" s="5"/>
      <c r="G80" s="5">
        <f t="shared" si="8"/>
        <v>0</v>
      </c>
      <c r="H80" s="5">
        <f t="shared" si="9"/>
        <v>0</v>
      </c>
      <c r="I80" s="6" t="e">
        <f t="shared" si="10"/>
        <v>#DIV/0!</v>
      </c>
      <c r="J80" s="2"/>
      <c r="L80" s="37"/>
    </row>
    <row r="81" spans="1:12" ht="47.25">
      <c r="A81" s="17"/>
      <c r="B81" s="64" t="s">
        <v>18</v>
      </c>
      <c r="C81" s="63" t="s">
        <v>61</v>
      </c>
      <c r="D81" s="6">
        <v>7.525</v>
      </c>
      <c r="E81" s="6"/>
      <c r="F81" s="5">
        <v>7.52458</v>
      </c>
      <c r="G81" s="5"/>
      <c r="H81" s="5">
        <f t="shared" si="9"/>
        <v>-0.00042000000000008697</v>
      </c>
      <c r="I81" s="6">
        <f t="shared" si="10"/>
        <v>99.99441860465116</v>
      </c>
      <c r="J81" s="2"/>
      <c r="L81" s="37"/>
    </row>
    <row r="82" spans="1:12" ht="46.5" customHeight="1">
      <c r="A82" s="17"/>
      <c r="B82" s="64" t="s">
        <v>18</v>
      </c>
      <c r="C82" s="63" t="s">
        <v>162</v>
      </c>
      <c r="D82" s="6">
        <v>34</v>
      </c>
      <c r="E82" s="6"/>
      <c r="F82" s="5">
        <v>23</v>
      </c>
      <c r="G82" s="5"/>
      <c r="H82" s="5">
        <f t="shared" si="9"/>
        <v>-11</v>
      </c>
      <c r="I82" s="6">
        <f t="shared" si="10"/>
        <v>67.64705882352942</v>
      </c>
      <c r="J82" s="2"/>
      <c r="L82" s="37"/>
    </row>
    <row r="83" spans="1:12" ht="31.5" hidden="1">
      <c r="A83" s="17" t="s">
        <v>306</v>
      </c>
      <c r="B83" s="64" t="s">
        <v>307</v>
      </c>
      <c r="C83" s="74" t="s">
        <v>468</v>
      </c>
      <c r="D83" s="6">
        <v>0</v>
      </c>
      <c r="E83" s="6">
        <v>2.4</v>
      </c>
      <c r="F83" s="5"/>
      <c r="G83" s="5">
        <f>F83-L80</f>
        <v>0</v>
      </c>
      <c r="H83" s="5">
        <f t="shared" si="9"/>
        <v>0</v>
      </c>
      <c r="I83" s="6" t="e">
        <f t="shared" si="10"/>
        <v>#DIV/0!</v>
      </c>
      <c r="J83" s="2"/>
      <c r="L83" s="37"/>
    </row>
    <row r="84" spans="1:12" ht="47.25" hidden="1">
      <c r="A84" s="17"/>
      <c r="B84" s="64" t="s">
        <v>18</v>
      </c>
      <c r="C84" s="74" t="s">
        <v>163</v>
      </c>
      <c r="D84" s="6">
        <v>0</v>
      </c>
      <c r="E84" s="6"/>
      <c r="F84" s="5"/>
      <c r="G84" s="5"/>
      <c r="H84" s="5">
        <f t="shared" si="9"/>
        <v>0</v>
      </c>
      <c r="I84" s="6" t="e">
        <f t="shared" si="10"/>
        <v>#DIV/0!</v>
      </c>
      <c r="J84" s="2"/>
      <c r="L84" s="37"/>
    </row>
    <row r="85" spans="1:12" ht="31.5">
      <c r="A85" s="17"/>
      <c r="B85" s="64" t="s">
        <v>85</v>
      </c>
      <c r="C85" s="74" t="s">
        <v>164</v>
      </c>
      <c r="D85" s="6">
        <v>59.95041</v>
      </c>
      <c r="E85" s="6"/>
      <c r="F85" s="5">
        <v>59.95041</v>
      </c>
      <c r="G85" s="5"/>
      <c r="H85" s="5">
        <f t="shared" si="9"/>
        <v>0</v>
      </c>
      <c r="I85" s="6">
        <f t="shared" si="10"/>
        <v>100</v>
      </c>
      <c r="J85" s="2"/>
      <c r="L85" s="37"/>
    </row>
    <row r="86" spans="1:12" ht="47.25">
      <c r="A86" s="17"/>
      <c r="B86" s="64" t="s">
        <v>85</v>
      </c>
      <c r="C86" s="74" t="s">
        <v>135</v>
      </c>
      <c r="D86" s="6">
        <v>40.3</v>
      </c>
      <c r="E86" s="6"/>
      <c r="F86" s="5">
        <v>26.04691</v>
      </c>
      <c r="G86" s="5"/>
      <c r="H86" s="5">
        <f t="shared" si="9"/>
        <v>-14.253089999999997</v>
      </c>
      <c r="I86" s="6">
        <f t="shared" si="10"/>
        <v>64.63253101736973</v>
      </c>
      <c r="J86" s="2"/>
      <c r="L86" s="37"/>
    </row>
    <row r="87" spans="1:12" ht="31.5">
      <c r="A87" s="17" t="s">
        <v>308</v>
      </c>
      <c r="B87" s="64" t="s">
        <v>337</v>
      </c>
      <c r="C87" s="74" t="s">
        <v>26</v>
      </c>
      <c r="D87" s="6">
        <v>69.33</v>
      </c>
      <c r="E87" s="6">
        <v>38.3</v>
      </c>
      <c r="F87" s="5">
        <v>58.1282</v>
      </c>
      <c r="G87" s="5">
        <f>F87-L83</f>
        <v>58.1282</v>
      </c>
      <c r="H87" s="5">
        <f t="shared" si="9"/>
        <v>-11.201799999999999</v>
      </c>
      <c r="I87" s="6">
        <f t="shared" si="10"/>
        <v>83.84278090292803</v>
      </c>
      <c r="J87" s="2"/>
      <c r="L87" s="37"/>
    </row>
    <row r="88" spans="1:12" ht="63" hidden="1">
      <c r="A88" s="17"/>
      <c r="B88" s="64" t="s">
        <v>337</v>
      </c>
      <c r="C88" s="74" t="s">
        <v>8</v>
      </c>
      <c r="D88" s="6">
        <v>0</v>
      </c>
      <c r="E88" s="6"/>
      <c r="F88" s="5"/>
      <c r="G88" s="5"/>
      <c r="H88" s="5">
        <f t="shared" si="9"/>
        <v>0</v>
      </c>
      <c r="I88" s="6" t="e">
        <f t="shared" si="10"/>
        <v>#DIV/0!</v>
      </c>
      <c r="J88" s="2"/>
      <c r="L88" s="37"/>
    </row>
    <row r="89" spans="1:12" ht="31.5">
      <c r="A89" s="17" t="s">
        <v>308</v>
      </c>
      <c r="B89" s="64" t="s">
        <v>337</v>
      </c>
      <c r="C89" s="74" t="s">
        <v>165</v>
      </c>
      <c r="D89" s="6">
        <v>24.24</v>
      </c>
      <c r="E89" s="6"/>
      <c r="F89" s="5">
        <v>23.04</v>
      </c>
      <c r="G89" s="5"/>
      <c r="H89" s="5">
        <f t="shared" si="9"/>
        <v>-1.1999999999999993</v>
      </c>
      <c r="I89" s="6">
        <f t="shared" si="10"/>
        <v>95.04950495049506</v>
      </c>
      <c r="J89" s="2"/>
      <c r="L89" s="37"/>
    </row>
    <row r="90" spans="1:12" ht="33.75" customHeight="1">
      <c r="A90" s="17" t="s">
        <v>308</v>
      </c>
      <c r="B90" s="72" t="s">
        <v>412</v>
      </c>
      <c r="C90" s="63" t="s">
        <v>166</v>
      </c>
      <c r="D90" s="6">
        <v>14.1</v>
      </c>
      <c r="E90" s="6">
        <v>5.1</v>
      </c>
      <c r="F90" s="5">
        <v>9.09832</v>
      </c>
      <c r="G90" s="5">
        <f>F90-L87</f>
        <v>9.09832</v>
      </c>
      <c r="H90" s="5">
        <f t="shared" si="9"/>
        <v>-5.00168</v>
      </c>
      <c r="I90" s="6">
        <f t="shared" si="10"/>
        <v>64.52709219858156</v>
      </c>
      <c r="J90" s="2"/>
      <c r="L90" s="37"/>
    </row>
    <row r="91" spans="1:12" ht="67.5" customHeight="1" hidden="1">
      <c r="A91" s="19" t="s">
        <v>304</v>
      </c>
      <c r="B91" s="72" t="s">
        <v>19</v>
      </c>
      <c r="C91" s="55" t="s">
        <v>31</v>
      </c>
      <c r="D91" s="6">
        <v>0</v>
      </c>
      <c r="E91" s="6">
        <v>301.4</v>
      </c>
      <c r="F91" s="5">
        <v>0</v>
      </c>
      <c r="G91" s="5">
        <f>F91-L90</f>
        <v>0</v>
      </c>
      <c r="H91" s="5">
        <f t="shared" si="9"/>
        <v>0</v>
      </c>
      <c r="I91" s="6" t="e">
        <f t="shared" si="10"/>
        <v>#DIV/0!</v>
      </c>
      <c r="J91" s="2"/>
      <c r="L91" s="2"/>
    </row>
    <row r="92" spans="1:12" ht="68.25" customHeight="1" hidden="1">
      <c r="A92" s="19" t="s">
        <v>304</v>
      </c>
      <c r="B92" s="72" t="s">
        <v>19</v>
      </c>
      <c r="C92" s="55" t="s">
        <v>105</v>
      </c>
      <c r="D92" s="6"/>
      <c r="E92" s="6"/>
      <c r="F92" s="5"/>
      <c r="G92" s="5"/>
      <c r="H92" s="5">
        <f t="shared" si="9"/>
        <v>0</v>
      </c>
      <c r="I92" s="6" t="e">
        <f t="shared" si="10"/>
        <v>#DIV/0!</v>
      </c>
      <c r="J92" s="2"/>
      <c r="L92" s="2"/>
    </row>
    <row r="93" spans="1:12" ht="15.75">
      <c r="A93" s="17" t="s">
        <v>304</v>
      </c>
      <c r="B93" s="79" t="s">
        <v>442</v>
      </c>
      <c r="C93" s="74" t="s">
        <v>443</v>
      </c>
      <c r="D93" s="6">
        <f>SUM(D94:D103)</f>
        <v>670.0050000000001</v>
      </c>
      <c r="E93" s="6">
        <f>SUM(E94:E103)</f>
        <v>163.6</v>
      </c>
      <c r="F93" s="6">
        <f>SUM(F94:F103)</f>
        <v>537.15371</v>
      </c>
      <c r="G93" s="6">
        <f>SUM(G94:G103)</f>
        <v>266.00098</v>
      </c>
      <c r="H93" s="6">
        <f>SUM(H94:H103)</f>
        <v>-132.85129</v>
      </c>
      <c r="I93" s="6">
        <f t="shared" si="10"/>
        <v>80.17159722688636</v>
      </c>
      <c r="J93" s="2"/>
      <c r="L93" s="37"/>
    </row>
    <row r="94" spans="1:12" ht="33" customHeight="1">
      <c r="A94" s="17" t="s">
        <v>304</v>
      </c>
      <c r="B94" s="48" t="s">
        <v>365</v>
      </c>
      <c r="C94" s="18" t="s">
        <v>32</v>
      </c>
      <c r="D94" s="1">
        <v>331.091</v>
      </c>
      <c r="E94" s="1">
        <v>124.6</v>
      </c>
      <c r="F94" s="4">
        <v>266.00098</v>
      </c>
      <c r="G94" s="5">
        <f>F94-L93</f>
        <v>266.00098</v>
      </c>
      <c r="H94" s="4">
        <f aca="true" t="shared" si="11" ref="H94:H102">F94-D94</f>
        <v>-65.09001999999998</v>
      </c>
      <c r="I94" s="1">
        <f t="shared" si="10"/>
        <v>80.34074619968528</v>
      </c>
      <c r="J94" s="2"/>
      <c r="L94" s="37"/>
    </row>
    <row r="95" spans="1:12" ht="47.25" hidden="1">
      <c r="A95" s="17" t="s">
        <v>304</v>
      </c>
      <c r="B95" s="48" t="s">
        <v>344</v>
      </c>
      <c r="C95" s="18" t="s">
        <v>12</v>
      </c>
      <c r="D95" s="1">
        <v>0</v>
      </c>
      <c r="E95" s="1">
        <v>22</v>
      </c>
      <c r="F95" s="4"/>
      <c r="G95" s="5">
        <f>F95-L94</f>
        <v>0</v>
      </c>
      <c r="H95" s="4">
        <f t="shared" si="11"/>
        <v>0</v>
      </c>
      <c r="I95" s="1" t="e">
        <f t="shared" si="10"/>
        <v>#DIV/0!</v>
      </c>
      <c r="J95" s="2"/>
      <c r="L95" s="37"/>
    </row>
    <row r="96" spans="1:12" ht="0.75" customHeight="1" hidden="1">
      <c r="A96" s="17" t="s">
        <v>304</v>
      </c>
      <c r="B96" s="48" t="s">
        <v>366</v>
      </c>
      <c r="C96" s="18" t="s">
        <v>12</v>
      </c>
      <c r="D96" s="1">
        <v>0</v>
      </c>
      <c r="E96" s="1">
        <v>17</v>
      </c>
      <c r="F96" s="4"/>
      <c r="G96" s="5">
        <f>F96-L95</f>
        <v>0</v>
      </c>
      <c r="H96" s="4">
        <f t="shared" si="11"/>
        <v>0</v>
      </c>
      <c r="I96" s="1" t="e">
        <f t="shared" si="10"/>
        <v>#DIV/0!</v>
      </c>
      <c r="J96" s="2"/>
      <c r="L96" s="2"/>
    </row>
    <row r="97" spans="1:12" ht="65.25" customHeight="1">
      <c r="A97" s="17"/>
      <c r="B97" s="48" t="s">
        <v>365</v>
      </c>
      <c r="C97" s="18" t="s">
        <v>167</v>
      </c>
      <c r="D97" s="1">
        <v>287.3</v>
      </c>
      <c r="E97" s="1"/>
      <c r="F97" s="4">
        <v>238.95952</v>
      </c>
      <c r="G97" s="5"/>
      <c r="H97" s="4">
        <f t="shared" si="11"/>
        <v>-48.340480000000014</v>
      </c>
      <c r="I97" s="1">
        <f t="shared" si="10"/>
        <v>83.1742151061608</v>
      </c>
      <c r="J97" s="2"/>
      <c r="L97" s="2"/>
    </row>
    <row r="98" spans="1:12" ht="44.25" customHeight="1">
      <c r="A98" s="17"/>
      <c r="B98" s="48" t="s">
        <v>366</v>
      </c>
      <c r="C98" s="18" t="s">
        <v>168</v>
      </c>
      <c r="D98" s="1">
        <v>5.48</v>
      </c>
      <c r="E98" s="1"/>
      <c r="F98" s="5">
        <v>2.458</v>
      </c>
      <c r="G98" s="5"/>
      <c r="H98" s="4">
        <f t="shared" si="11"/>
        <v>-3.0220000000000002</v>
      </c>
      <c r="I98" s="1">
        <f t="shared" si="10"/>
        <v>44.85401459854015</v>
      </c>
      <c r="J98" s="2"/>
      <c r="L98" s="2"/>
    </row>
    <row r="99" spans="1:12" ht="49.5" customHeight="1">
      <c r="A99" s="17"/>
      <c r="B99" s="48" t="s">
        <v>366</v>
      </c>
      <c r="C99" s="18" t="s">
        <v>168</v>
      </c>
      <c r="D99" s="1">
        <v>6.7</v>
      </c>
      <c r="E99" s="1"/>
      <c r="F99" s="5">
        <v>1.60636</v>
      </c>
      <c r="G99" s="5"/>
      <c r="H99" s="4">
        <f t="shared" si="11"/>
        <v>-5.093640000000001</v>
      </c>
      <c r="I99" s="1">
        <f t="shared" si="10"/>
        <v>23.9755223880597</v>
      </c>
      <c r="J99" s="2"/>
      <c r="L99" s="2"/>
    </row>
    <row r="100" spans="1:12" ht="48.75" customHeight="1">
      <c r="A100" s="17" t="s">
        <v>304</v>
      </c>
      <c r="B100" s="48" t="s">
        <v>366</v>
      </c>
      <c r="C100" s="7" t="s">
        <v>169</v>
      </c>
      <c r="D100" s="1">
        <v>35</v>
      </c>
      <c r="E100" s="1"/>
      <c r="F100" s="5">
        <v>27.29585</v>
      </c>
      <c r="G100" s="5"/>
      <c r="H100" s="4">
        <f t="shared" si="11"/>
        <v>-7.7041499999999985</v>
      </c>
      <c r="I100" s="1">
        <f t="shared" si="10"/>
        <v>77.98814285714286</v>
      </c>
      <c r="J100" s="2"/>
      <c r="L100" s="2"/>
    </row>
    <row r="101" spans="1:12" ht="64.5" customHeight="1" hidden="1">
      <c r="A101" s="17"/>
      <c r="B101" s="48" t="s">
        <v>78</v>
      </c>
      <c r="C101" s="7" t="s">
        <v>170</v>
      </c>
      <c r="D101" s="1"/>
      <c r="E101" s="1"/>
      <c r="F101" s="4"/>
      <c r="G101" s="5"/>
      <c r="H101" s="4">
        <f t="shared" si="11"/>
        <v>0</v>
      </c>
      <c r="I101" s="1" t="e">
        <f t="shared" si="10"/>
        <v>#DIV/0!</v>
      </c>
      <c r="J101" s="2"/>
      <c r="L101" s="2"/>
    </row>
    <row r="102" spans="1:12" ht="50.25" customHeight="1">
      <c r="A102" s="17"/>
      <c r="B102" s="48" t="s">
        <v>78</v>
      </c>
      <c r="C102" s="7" t="s">
        <v>182</v>
      </c>
      <c r="D102" s="1">
        <f>4+0.434</f>
        <v>4.434</v>
      </c>
      <c r="E102" s="1"/>
      <c r="F102" s="4">
        <v>0.833</v>
      </c>
      <c r="G102" s="5"/>
      <c r="H102" s="4">
        <f t="shared" si="11"/>
        <v>-3.601</v>
      </c>
      <c r="I102" s="1">
        <f t="shared" si="10"/>
        <v>18.786648624267027</v>
      </c>
      <c r="J102" s="2"/>
      <c r="L102" s="2"/>
    </row>
    <row r="103" spans="1:12" ht="50.25" customHeight="1" hidden="1">
      <c r="A103" s="17"/>
      <c r="B103" s="48" t="s">
        <v>25</v>
      </c>
      <c r="C103" s="18" t="s">
        <v>33</v>
      </c>
      <c r="D103" s="1"/>
      <c r="E103" s="1"/>
      <c r="F103" s="4"/>
      <c r="G103" s="5"/>
      <c r="H103" s="4"/>
      <c r="I103" s="1"/>
      <c r="J103" s="2"/>
      <c r="L103" s="2"/>
    </row>
    <row r="104" spans="1:12" ht="15.75">
      <c r="A104" s="17"/>
      <c r="B104" s="64" t="s">
        <v>310</v>
      </c>
      <c r="C104" s="74" t="s">
        <v>106</v>
      </c>
      <c r="D104" s="6">
        <f>SUM(D105:D109)</f>
        <v>1879.1668200000001</v>
      </c>
      <c r="E104" s="6">
        <f>SUM(E105:E109)</f>
        <v>661.9</v>
      </c>
      <c r="F104" s="6">
        <f>SUM(F105:F109)</f>
        <v>1576.9264500000002</v>
      </c>
      <c r="G104" s="6">
        <f>SUM(G105:G109)</f>
        <v>1499.00041</v>
      </c>
      <c r="H104" s="5">
        <f aca="true" t="shared" si="12" ref="H104:H135">F104-D104</f>
        <v>-302.24037</v>
      </c>
      <c r="I104" s="6">
        <f aca="true" t="shared" si="13" ref="I104:I135">F104/D104*100</f>
        <v>83.91625656736532</v>
      </c>
      <c r="J104" s="2"/>
      <c r="L104" s="2"/>
    </row>
    <row r="105" spans="1:12" ht="65.25" customHeight="1">
      <c r="A105" s="17" t="s">
        <v>311</v>
      </c>
      <c r="B105" s="48" t="s">
        <v>312</v>
      </c>
      <c r="C105" s="18" t="s">
        <v>66</v>
      </c>
      <c r="D105" s="1">
        <v>1614.79682</v>
      </c>
      <c r="E105" s="1">
        <v>392.3</v>
      </c>
      <c r="F105" s="1">
        <v>1389.58503</v>
      </c>
      <c r="G105" s="5">
        <f>F105-L104</f>
        <v>1389.58503</v>
      </c>
      <c r="H105" s="4">
        <f t="shared" si="12"/>
        <v>-225.21179000000006</v>
      </c>
      <c r="I105" s="1">
        <f t="shared" si="13"/>
        <v>86.05324290891284</v>
      </c>
      <c r="J105" s="2"/>
      <c r="L105" s="37"/>
    </row>
    <row r="106" spans="1:12" ht="79.5" customHeight="1">
      <c r="A106" s="17" t="s">
        <v>311</v>
      </c>
      <c r="B106" s="48" t="s">
        <v>20</v>
      </c>
      <c r="C106" s="7" t="s">
        <v>272</v>
      </c>
      <c r="D106" s="1">
        <v>130</v>
      </c>
      <c r="E106" s="1"/>
      <c r="F106" s="1">
        <v>77.92604</v>
      </c>
      <c r="G106" s="5"/>
      <c r="H106" s="4">
        <f t="shared" si="12"/>
        <v>-52.07396</v>
      </c>
      <c r="I106" s="1">
        <f t="shared" si="13"/>
        <v>59.9431076923077</v>
      </c>
      <c r="J106" s="2"/>
      <c r="L106" s="37"/>
    </row>
    <row r="107" spans="1:12" ht="48" customHeight="1">
      <c r="A107" s="17" t="s">
        <v>303</v>
      </c>
      <c r="B107" s="48" t="s">
        <v>313</v>
      </c>
      <c r="C107" s="7" t="s">
        <v>173</v>
      </c>
      <c r="D107" s="1">
        <v>32.14</v>
      </c>
      <c r="E107" s="1">
        <v>3.4</v>
      </c>
      <c r="F107" s="4">
        <v>23.26905</v>
      </c>
      <c r="G107" s="5">
        <f>F107-L105</f>
        <v>23.26905</v>
      </c>
      <c r="H107" s="4">
        <f t="shared" si="12"/>
        <v>-8.87095</v>
      </c>
      <c r="I107" s="1">
        <f t="shared" si="13"/>
        <v>72.39903546981954</v>
      </c>
      <c r="J107" s="2"/>
      <c r="L107" s="2"/>
    </row>
    <row r="108" spans="1:12" ht="79.5" customHeight="1">
      <c r="A108" s="17" t="s">
        <v>301</v>
      </c>
      <c r="B108" s="48" t="s">
        <v>314</v>
      </c>
      <c r="C108" s="3" t="s">
        <v>174</v>
      </c>
      <c r="D108" s="1">
        <f>100.23+2</f>
        <v>102.23</v>
      </c>
      <c r="E108" s="1">
        <v>32.8</v>
      </c>
      <c r="F108" s="1">
        <v>86.14633</v>
      </c>
      <c r="G108" s="5">
        <f>F108-L107</f>
        <v>86.14633</v>
      </c>
      <c r="H108" s="4">
        <f t="shared" si="12"/>
        <v>-16.083669999999998</v>
      </c>
      <c r="I108" s="1">
        <f t="shared" si="13"/>
        <v>84.26717206299521</v>
      </c>
      <c r="J108" s="2"/>
      <c r="L108" s="39"/>
    </row>
    <row r="109" spans="1:12" ht="31.5" hidden="1">
      <c r="A109" s="17" t="s">
        <v>308</v>
      </c>
      <c r="B109" s="48" t="s">
        <v>315</v>
      </c>
      <c r="C109" s="3" t="s">
        <v>469</v>
      </c>
      <c r="D109" s="1">
        <v>0</v>
      </c>
      <c r="E109" s="1">
        <v>233.4</v>
      </c>
      <c r="F109" s="5">
        <v>0</v>
      </c>
      <c r="G109" s="5">
        <f>F109-L108</f>
        <v>0</v>
      </c>
      <c r="H109" s="4">
        <f t="shared" si="12"/>
        <v>0</v>
      </c>
      <c r="I109" s="1" t="e">
        <f t="shared" si="13"/>
        <v>#DIV/0!</v>
      </c>
      <c r="J109" s="2"/>
      <c r="L109" s="39"/>
    </row>
    <row r="110" spans="1:12" ht="15.75">
      <c r="A110" s="17"/>
      <c r="B110" s="64" t="s">
        <v>316</v>
      </c>
      <c r="C110" s="74" t="s">
        <v>443</v>
      </c>
      <c r="D110" s="6">
        <f>D111+D112+D113</f>
        <v>2952.0570000000002</v>
      </c>
      <c r="E110" s="6">
        <f>E111+E112+E113</f>
        <v>409.4</v>
      </c>
      <c r="F110" s="6">
        <f>F111+F112+F113</f>
        <v>2625.9966299999996</v>
      </c>
      <c r="G110" s="85">
        <f>G111+G112+G113</f>
        <v>2620.62574</v>
      </c>
      <c r="H110" s="5">
        <f t="shared" si="12"/>
        <v>-326.0603700000006</v>
      </c>
      <c r="I110" s="6">
        <f t="shared" si="13"/>
        <v>88.95480778318303</v>
      </c>
      <c r="J110" s="2"/>
      <c r="L110" s="37"/>
    </row>
    <row r="111" spans="1:12" ht="31.5">
      <c r="A111" s="17" t="s">
        <v>306</v>
      </c>
      <c r="B111" s="64" t="s">
        <v>316</v>
      </c>
      <c r="C111" s="74" t="s">
        <v>175</v>
      </c>
      <c r="D111" s="6">
        <v>2944.657</v>
      </c>
      <c r="E111" s="6">
        <v>409.4</v>
      </c>
      <c r="F111" s="5">
        <v>2620.62574</v>
      </c>
      <c r="G111" s="5">
        <f>F111-L110</f>
        <v>2620.62574</v>
      </c>
      <c r="H111" s="5">
        <f t="shared" si="12"/>
        <v>-324.0312600000002</v>
      </c>
      <c r="I111" s="6">
        <f t="shared" si="13"/>
        <v>88.99595912189433</v>
      </c>
      <c r="J111" s="2"/>
      <c r="L111" s="37"/>
    </row>
    <row r="112" spans="1:12" ht="47.25">
      <c r="A112" s="17"/>
      <c r="B112" s="64" t="s">
        <v>462</v>
      </c>
      <c r="C112" s="74" t="s">
        <v>176</v>
      </c>
      <c r="D112" s="6">
        <v>6.32</v>
      </c>
      <c r="E112" s="6"/>
      <c r="F112" s="5">
        <v>5.28689</v>
      </c>
      <c r="G112" s="5"/>
      <c r="H112" s="5">
        <f t="shared" si="12"/>
        <v>-1.0331100000000006</v>
      </c>
      <c r="I112" s="6">
        <f t="shared" si="13"/>
        <v>83.65332278481011</v>
      </c>
      <c r="J112" s="2"/>
      <c r="L112" s="37"/>
    </row>
    <row r="113" spans="1:12" ht="33" customHeight="1">
      <c r="A113" s="17"/>
      <c r="B113" s="64" t="s">
        <v>463</v>
      </c>
      <c r="C113" s="74" t="s">
        <v>177</v>
      </c>
      <c r="D113" s="6">
        <v>1.08</v>
      </c>
      <c r="E113" s="6"/>
      <c r="F113" s="5">
        <v>0.084</v>
      </c>
      <c r="G113" s="5"/>
      <c r="H113" s="5">
        <f t="shared" si="12"/>
        <v>-0.9960000000000001</v>
      </c>
      <c r="I113" s="6">
        <f t="shared" si="13"/>
        <v>7.777777777777778</v>
      </c>
      <c r="J113" s="2" t="s">
        <v>373</v>
      </c>
      <c r="L113" s="2"/>
    </row>
    <row r="114" spans="1:12" ht="16.5" customHeight="1">
      <c r="A114" s="19" t="s">
        <v>413</v>
      </c>
      <c r="B114" s="72" t="s">
        <v>317</v>
      </c>
      <c r="C114" s="55" t="s">
        <v>107</v>
      </c>
      <c r="D114" s="6">
        <f>SUM(D115:D121)</f>
        <v>6974.24</v>
      </c>
      <c r="E114" s="6">
        <f>SUM(E115:E120)</f>
        <v>3220.6</v>
      </c>
      <c r="F114" s="6">
        <f>SUM(F115:F121)</f>
        <v>5601.49456</v>
      </c>
      <c r="G114" s="6">
        <f>SUM(G115:G120)</f>
        <v>5576.98892</v>
      </c>
      <c r="H114" s="5">
        <f t="shared" si="12"/>
        <v>-1372.7454399999997</v>
      </c>
      <c r="I114" s="6">
        <f t="shared" si="13"/>
        <v>80.31691711211545</v>
      </c>
      <c r="J114" s="2" t="s">
        <v>374</v>
      </c>
      <c r="L114" s="37"/>
    </row>
    <row r="115" spans="1:12" ht="47.25">
      <c r="A115" s="17" t="s">
        <v>318</v>
      </c>
      <c r="B115" s="64" t="s">
        <v>17</v>
      </c>
      <c r="C115" s="55" t="s">
        <v>178</v>
      </c>
      <c r="D115" s="6">
        <v>266.14</v>
      </c>
      <c r="E115" s="6">
        <v>768.1</v>
      </c>
      <c r="F115" s="5">
        <v>170.75529</v>
      </c>
      <c r="G115" s="5">
        <f>F115-L114</f>
        <v>170.75529</v>
      </c>
      <c r="H115" s="5">
        <f t="shared" si="12"/>
        <v>-95.38470999999998</v>
      </c>
      <c r="I115" s="6">
        <f t="shared" si="13"/>
        <v>64.15994965055985</v>
      </c>
      <c r="J115" s="2"/>
      <c r="L115" s="37"/>
    </row>
    <row r="116" spans="1:12" ht="48" customHeight="1">
      <c r="A116" s="17" t="s">
        <v>318</v>
      </c>
      <c r="B116" s="64" t="s">
        <v>370</v>
      </c>
      <c r="C116" s="86" t="s">
        <v>219</v>
      </c>
      <c r="D116" s="6">
        <f>1054-400-54</f>
        <v>600</v>
      </c>
      <c r="E116" s="6">
        <v>852.5</v>
      </c>
      <c r="F116" s="5">
        <v>350</v>
      </c>
      <c r="G116" s="5">
        <f>F116-L115</f>
        <v>350</v>
      </c>
      <c r="H116" s="5">
        <f t="shared" si="12"/>
        <v>-250</v>
      </c>
      <c r="I116" s="6">
        <f t="shared" si="13"/>
        <v>58.333333333333336</v>
      </c>
      <c r="J116" s="2"/>
      <c r="L116" s="37"/>
    </row>
    <row r="117" spans="1:12" ht="34.5" customHeight="1">
      <c r="A117" s="17" t="s">
        <v>318</v>
      </c>
      <c r="B117" s="64" t="s">
        <v>40</v>
      </c>
      <c r="C117" s="86" t="s">
        <v>220</v>
      </c>
      <c r="D117" s="6">
        <v>156</v>
      </c>
      <c r="E117" s="6"/>
      <c r="F117" s="5">
        <v>0</v>
      </c>
      <c r="G117" s="5"/>
      <c r="H117" s="5">
        <f t="shared" si="12"/>
        <v>-156</v>
      </c>
      <c r="I117" s="6">
        <f t="shared" si="13"/>
        <v>0</v>
      </c>
      <c r="J117" s="2"/>
      <c r="L117" s="37"/>
    </row>
    <row r="118" spans="1:12" ht="47.25" customHeight="1">
      <c r="A118" s="17" t="s">
        <v>320</v>
      </c>
      <c r="B118" s="64" t="s">
        <v>15</v>
      </c>
      <c r="C118" s="86" t="s">
        <v>221</v>
      </c>
      <c r="D118" s="6">
        <v>98</v>
      </c>
      <c r="E118" s="6">
        <v>0</v>
      </c>
      <c r="F118" s="5">
        <v>98</v>
      </c>
      <c r="G118" s="5">
        <f>F118-L116</f>
        <v>98</v>
      </c>
      <c r="H118" s="5">
        <f t="shared" si="12"/>
        <v>0</v>
      </c>
      <c r="I118" s="6">
        <f t="shared" si="13"/>
        <v>100</v>
      </c>
      <c r="J118" s="2"/>
      <c r="L118" s="37"/>
    </row>
    <row r="119" spans="1:12" ht="18" customHeight="1" hidden="1">
      <c r="A119" s="17"/>
      <c r="B119" s="64" t="s">
        <v>321</v>
      </c>
      <c r="C119" s="63" t="s">
        <v>222</v>
      </c>
      <c r="D119" s="6">
        <v>0</v>
      </c>
      <c r="E119" s="6"/>
      <c r="F119" s="5"/>
      <c r="G119" s="5"/>
      <c r="H119" s="5">
        <f t="shared" si="12"/>
        <v>0</v>
      </c>
      <c r="I119" s="6" t="e">
        <f t="shared" si="13"/>
        <v>#DIV/0!</v>
      </c>
      <c r="J119" s="2"/>
      <c r="L119" s="37"/>
    </row>
    <row r="120" spans="1:12" ht="15.75">
      <c r="A120" s="17" t="s">
        <v>320</v>
      </c>
      <c r="B120" s="64" t="s">
        <v>321</v>
      </c>
      <c r="C120" s="63" t="s">
        <v>384</v>
      </c>
      <c r="D120" s="6">
        <v>5829.1</v>
      </c>
      <c r="E120" s="6">
        <v>1600</v>
      </c>
      <c r="F120" s="5">
        <v>4958.23363</v>
      </c>
      <c r="G120" s="5">
        <f>F120-L118</f>
        <v>4958.23363</v>
      </c>
      <c r="H120" s="5">
        <f t="shared" si="12"/>
        <v>-870.8663700000006</v>
      </c>
      <c r="I120" s="6">
        <f t="shared" si="13"/>
        <v>85.06002007170918</v>
      </c>
      <c r="J120" s="2"/>
      <c r="L120" s="2"/>
    </row>
    <row r="121" spans="1:12" ht="31.5">
      <c r="A121" s="17"/>
      <c r="B121" s="64" t="s">
        <v>321</v>
      </c>
      <c r="C121" s="63" t="s">
        <v>453</v>
      </c>
      <c r="D121" s="6">
        <v>25</v>
      </c>
      <c r="E121" s="6"/>
      <c r="F121" s="5">
        <v>24.50564</v>
      </c>
      <c r="G121" s="5"/>
      <c r="H121" s="5">
        <f t="shared" si="12"/>
        <v>-0.49436000000000035</v>
      </c>
      <c r="I121" s="6">
        <f t="shared" si="13"/>
        <v>98.02256</v>
      </c>
      <c r="J121" s="2"/>
      <c r="L121" s="2"/>
    </row>
    <row r="122" spans="1:12" ht="15.75">
      <c r="A122" s="19" t="s">
        <v>322</v>
      </c>
      <c r="B122" s="72" t="s">
        <v>335</v>
      </c>
      <c r="C122" s="55" t="s">
        <v>109</v>
      </c>
      <c r="D122" s="6">
        <f>SUM(D123:D128)</f>
        <v>3549.93764</v>
      </c>
      <c r="E122" s="6">
        <f>SUM(E123:E128)</f>
        <v>970.5999999999999</v>
      </c>
      <c r="F122" s="6">
        <f>SUM(F123:F128)</f>
        <v>2936.8921</v>
      </c>
      <c r="G122" s="6" t="e">
        <f>SUM(G123:G128)</f>
        <v>#REF!</v>
      </c>
      <c r="H122" s="5">
        <f t="shared" si="12"/>
        <v>-613.0455400000001</v>
      </c>
      <c r="I122" s="6">
        <f t="shared" si="13"/>
        <v>82.73080819526733</v>
      </c>
      <c r="J122" s="2"/>
      <c r="L122" s="37"/>
    </row>
    <row r="123" spans="1:12" ht="15.75">
      <c r="A123" s="17" t="s">
        <v>322</v>
      </c>
      <c r="B123" s="64" t="s">
        <v>444</v>
      </c>
      <c r="C123" s="74" t="s">
        <v>447</v>
      </c>
      <c r="D123" s="6">
        <v>433.13914</v>
      </c>
      <c r="E123" s="6">
        <v>123.4</v>
      </c>
      <c r="F123" s="5">
        <v>366.14558</v>
      </c>
      <c r="G123" s="5">
        <f>F123-L122</f>
        <v>366.14558</v>
      </c>
      <c r="H123" s="5">
        <f t="shared" si="12"/>
        <v>-66.99356</v>
      </c>
      <c r="I123" s="6">
        <f t="shared" si="13"/>
        <v>84.53301634204658</v>
      </c>
      <c r="J123" s="2"/>
      <c r="L123" s="37"/>
    </row>
    <row r="124" spans="1:12" ht="15.75">
      <c r="A124" s="17" t="s">
        <v>322</v>
      </c>
      <c r="B124" s="64" t="s">
        <v>445</v>
      </c>
      <c r="C124" s="74" t="s">
        <v>449</v>
      </c>
      <c r="D124" s="6">
        <v>276.06924</v>
      </c>
      <c r="E124" s="6">
        <v>86.6</v>
      </c>
      <c r="F124" s="5">
        <v>242.78809</v>
      </c>
      <c r="G124" s="5">
        <f>F124-L123</f>
        <v>242.78809</v>
      </c>
      <c r="H124" s="5">
        <f t="shared" si="12"/>
        <v>-33.28114999999997</v>
      </c>
      <c r="I124" s="6">
        <f t="shared" si="13"/>
        <v>87.9446366426046</v>
      </c>
      <c r="J124" s="2"/>
      <c r="L124" s="37"/>
    </row>
    <row r="125" spans="1:12" ht="18" customHeight="1">
      <c r="A125" s="17" t="s">
        <v>322</v>
      </c>
      <c r="B125" s="64" t="s">
        <v>446</v>
      </c>
      <c r="C125" s="74" t="s">
        <v>448</v>
      </c>
      <c r="D125" s="6">
        <v>2239.75368</v>
      </c>
      <c r="E125" s="6">
        <v>581.9</v>
      </c>
      <c r="F125" s="5">
        <v>1906.99361</v>
      </c>
      <c r="G125" s="5" t="e">
        <f>F125-#REF!</f>
        <v>#REF!</v>
      </c>
      <c r="H125" s="5">
        <f t="shared" si="12"/>
        <v>-332.7600699999998</v>
      </c>
      <c r="I125" s="6">
        <f t="shared" si="13"/>
        <v>85.14300599340908</v>
      </c>
      <c r="J125" s="2"/>
      <c r="L125" s="37"/>
    </row>
    <row r="126" spans="1:12" ht="63" hidden="1">
      <c r="A126" s="17" t="s">
        <v>361</v>
      </c>
      <c r="B126" s="64" t="s">
        <v>432</v>
      </c>
      <c r="C126" s="74" t="s">
        <v>431</v>
      </c>
      <c r="D126" s="6">
        <v>0</v>
      </c>
      <c r="E126" s="6">
        <v>18.4</v>
      </c>
      <c r="F126" s="5"/>
      <c r="G126" s="5">
        <f>F126-L125</f>
        <v>0</v>
      </c>
      <c r="H126" s="5">
        <f t="shared" si="12"/>
        <v>0</v>
      </c>
      <c r="I126" s="6" t="e">
        <f t="shared" si="13"/>
        <v>#DIV/0!</v>
      </c>
      <c r="J126" s="2"/>
      <c r="L126" s="37"/>
    </row>
    <row r="127" spans="1:12" ht="15.75">
      <c r="A127" s="17" t="s">
        <v>322</v>
      </c>
      <c r="B127" s="64" t="s">
        <v>424</v>
      </c>
      <c r="C127" s="74" t="s">
        <v>397</v>
      </c>
      <c r="D127" s="6">
        <v>268.09958</v>
      </c>
      <c r="E127" s="6">
        <v>60.3</v>
      </c>
      <c r="F127" s="5">
        <v>224.27448</v>
      </c>
      <c r="G127" s="5">
        <f>F127-L126</f>
        <v>224.27448</v>
      </c>
      <c r="H127" s="5">
        <f t="shared" si="12"/>
        <v>-43.82509999999999</v>
      </c>
      <c r="I127" s="6">
        <f t="shared" si="13"/>
        <v>83.65342459693522</v>
      </c>
      <c r="J127" s="2"/>
      <c r="L127" s="37"/>
    </row>
    <row r="128" spans="1:12" ht="50.25" customHeight="1">
      <c r="A128" s="17" t="s">
        <v>425</v>
      </c>
      <c r="B128" s="64" t="s">
        <v>424</v>
      </c>
      <c r="C128" s="74" t="s">
        <v>35</v>
      </c>
      <c r="D128" s="6">
        <v>332.876</v>
      </c>
      <c r="E128" s="6">
        <v>100</v>
      </c>
      <c r="F128" s="5">
        <v>196.69034</v>
      </c>
      <c r="G128" s="5">
        <f>F128-L127</f>
        <v>196.69034</v>
      </c>
      <c r="H128" s="5">
        <f t="shared" si="12"/>
        <v>-136.18565999999998</v>
      </c>
      <c r="I128" s="6">
        <f t="shared" si="13"/>
        <v>59.08817097057163</v>
      </c>
      <c r="J128" s="2"/>
      <c r="L128" s="2"/>
    </row>
    <row r="129" spans="1:12" ht="19.5" customHeight="1">
      <c r="A129" s="17" t="s">
        <v>414</v>
      </c>
      <c r="B129" s="64" t="s">
        <v>371</v>
      </c>
      <c r="C129" s="74" t="s">
        <v>110</v>
      </c>
      <c r="D129" s="6">
        <f>SUM(D130:D133)</f>
        <v>390</v>
      </c>
      <c r="E129" s="6">
        <f>SUM(E130:E133)</f>
        <v>141.2</v>
      </c>
      <c r="F129" s="6">
        <f>SUM(F130:F133)</f>
        <v>371.14968</v>
      </c>
      <c r="G129" s="6">
        <f>SUM(G130:G132)</f>
        <v>10</v>
      </c>
      <c r="H129" s="5">
        <f t="shared" si="12"/>
        <v>-18.85032000000001</v>
      </c>
      <c r="I129" s="6">
        <f t="shared" si="13"/>
        <v>95.16658461538461</v>
      </c>
      <c r="J129" s="2"/>
      <c r="L129" s="38"/>
    </row>
    <row r="130" spans="1:12" ht="15" customHeight="1" hidden="1">
      <c r="A130" s="23" t="s">
        <v>342</v>
      </c>
      <c r="B130" s="50" t="s">
        <v>341</v>
      </c>
      <c r="C130" s="7" t="s">
        <v>470</v>
      </c>
      <c r="D130" s="1">
        <v>0</v>
      </c>
      <c r="E130" s="1">
        <v>21</v>
      </c>
      <c r="F130" s="8">
        <v>0</v>
      </c>
      <c r="G130" s="5">
        <f>F130-L129</f>
        <v>0</v>
      </c>
      <c r="H130" s="4">
        <f t="shared" si="12"/>
        <v>0</v>
      </c>
      <c r="I130" s="1" t="e">
        <f t="shared" si="13"/>
        <v>#DIV/0!</v>
      </c>
      <c r="J130" s="2"/>
      <c r="L130" s="38"/>
    </row>
    <row r="131" spans="1:12" ht="23.25" customHeight="1" hidden="1">
      <c r="A131" s="23" t="s">
        <v>382</v>
      </c>
      <c r="B131" s="50" t="s">
        <v>383</v>
      </c>
      <c r="C131" s="7" t="s">
        <v>471</v>
      </c>
      <c r="D131" s="1">
        <v>0</v>
      </c>
      <c r="E131" s="1">
        <v>120.2</v>
      </c>
      <c r="F131" s="8">
        <v>0</v>
      </c>
      <c r="G131" s="5">
        <f>F131-L130</f>
        <v>0</v>
      </c>
      <c r="H131" s="4">
        <f t="shared" si="12"/>
        <v>0</v>
      </c>
      <c r="I131" s="1" t="e">
        <f t="shared" si="13"/>
        <v>#DIV/0!</v>
      </c>
      <c r="J131" s="2"/>
      <c r="L131" s="37"/>
    </row>
    <row r="132" spans="1:12" ht="31.5" customHeight="1">
      <c r="A132" s="23" t="s">
        <v>382</v>
      </c>
      <c r="B132" s="50" t="s">
        <v>383</v>
      </c>
      <c r="C132" s="7" t="s">
        <v>179</v>
      </c>
      <c r="D132" s="1">
        <v>10</v>
      </c>
      <c r="E132" s="1"/>
      <c r="F132" s="4">
        <v>10</v>
      </c>
      <c r="G132" s="5">
        <f>F132-L131</f>
        <v>10</v>
      </c>
      <c r="H132" s="4">
        <f t="shared" si="12"/>
        <v>0</v>
      </c>
      <c r="I132" s="1">
        <f t="shared" si="13"/>
        <v>100</v>
      </c>
      <c r="J132" s="2"/>
      <c r="L132" s="2"/>
    </row>
    <row r="133" spans="1:12" ht="47.25">
      <c r="A133" s="23"/>
      <c r="B133" s="50" t="s">
        <v>42</v>
      </c>
      <c r="C133" s="63" t="s">
        <v>223</v>
      </c>
      <c r="D133" s="1">
        <v>380</v>
      </c>
      <c r="E133" s="1"/>
      <c r="F133" s="4">
        <v>361.14968</v>
      </c>
      <c r="G133" s="5"/>
      <c r="H133" s="4">
        <f t="shared" si="12"/>
        <v>-18.85032000000001</v>
      </c>
      <c r="I133" s="1">
        <f t="shared" si="13"/>
        <v>95.03938947368421</v>
      </c>
      <c r="J133" s="2"/>
      <c r="L133" s="2"/>
    </row>
    <row r="134" spans="1:12" ht="15.75">
      <c r="A134" s="19" t="s">
        <v>323</v>
      </c>
      <c r="B134" s="72" t="s">
        <v>324</v>
      </c>
      <c r="C134" s="55" t="s">
        <v>111</v>
      </c>
      <c r="D134" s="6">
        <f>D136+D137+D135+D138</f>
        <v>1460.93737</v>
      </c>
      <c r="E134" s="6">
        <f>E136+E137+E135+E138</f>
        <v>336.9</v>
      </c>
      <c r="F134" s="6">
        <f>F136+F137+F135+F138</f>
        <v>1079.24107</v>
      </c>
      <c r="G134" s="6">
        <f>G136+G137</f>
        <v>1016.59907</v>
      </c>
      <c r="H134" s="5">
        <f t="shared" si="12"/>
        <v>-381.69630000000006</v>
      </c>
      <c r="I134" s="6">
        <f t="shared" si="13"/>
        <v>73.87319211363591</v>
      </c>
      <c r="J134" s="2"/>
      <c r="L134" s="37"/>
    </row>
    <row r="135" spans="1:12" ht="48" customHeight="1">
      <c r="A135" s="19" t="s">
        <v>323</v>
      </c>
      <c r="B135" s="49" t="s">
        <v>21</v>
      </c>
      <c r="C135" s="55" t="s">
        <v>193</v>
      </c>
      <c r="D135" s="1">
        <v>43.756</v>
      </c>
      <c r="E135" s="1"/>
      <c r="F135" s="1">
        <v>26.92517</v>
      </c>
      <c r="G135" s="1"/>
      <c r="H135" s="4">
        <f t="shared" si="12"/>
        <v>-16.83083</v>
      </c>
      <c r="I135" s="1">
        <f t="shared" si="13"/>
        <v>61.5348066550873</v>
      </c>
      <c r="J135" s="2"/>
      <c r="L135" s="37"/>
    </row>
    <row r="136" spans="1:12" ht="62.25" customHeight="1">
      <c r="A136" s="19" t="s">
        <v>323</v>
      </c>
      <c r="B136" s="49" t="s">
        <v>415</v>
      </c>
      <c r="C136" s="7" t="s">
        <v>224</v>
      </c>
      <c r="D136" s="1">
        <v>67.44</v>
      </c>
      <c r="E136" s="1">
        <v>15</v>
      </c>
      <c r="F136" s="4">
        <v>48.39206</v>
      </c>
      <c r="G136" s="5">
        <f>F136-L134</f>
        <v>48.39206</v>
      </c>
      <c r="H136" s="4">
        <f aca="true" t="shared" si="14" ref="H136:H164">F136-D136</f>
        <v>-19.047939999999997</v>
      </c>
      <c r="I136" s="1">
        <f aca="true" t="shared" si="15" ref="I136:I164">F136/D136*100</f>
        <v>71.75572360616846</v>
      </c>
      <c r="J136" s="2"/>
      <c r="L136" s="37"/>
    </row>
    <row r="137" spans="1:12" ht="31.5">
      <c r="A137" s="19" t="s">
        <v>323</v>
      </c>
      <c r="B137" s="49" t="s">
        <v>325</v>
      </c>
      <c r="C137" s="7" t="s">
        <v>427</v>
      </c>
      <c r="D137" s="1">
        <v>1285.07737</v>
      </c>
      <c r="E137" s="1">
        <v>321.9</v>
      </c>
      <c r="F137" s="4">
        <v>968.20701</v>
      </c>
      <c r="G137" s="5">
        <f>F137-L136</f>
        <v>968.20701</v>
      </c>
      <c r="H137" s="4">
        <f t="shared" si="14"/>
        <v>-316.87036</v>
      </c>
      <c r="I137" s="1">
        <f t="shared" si="15"/>
        <v>75.34231265779741</v>
      </c>
      <c r="J137" s="2"/>
      <c r="L137" s="37"/>
    </row>
    <row r="138" spans="1:12" ht="46.5" customHeight="1">
      <c r="A138" s="19" t="s">
        <v>323</v>
      </c>
      <c r="B138" s="49" t="s">
        <v>22</v>
      </c>
      <c r="C138" s="55" t="s">
        <v>194</v>
      </c>
      <c r="D138" s="1">
        <v>64.664</v>
      </c>
      <c r="E138" s="1"/>
      <c r="F138" s="4">
        <v>35.71683</v>
      </c>
      <c r="G138" s="5"/>
      <c r="H138" s="4">
        <f t="shared" si="14"/>
        <v>-28.94717</v>
      </c>
      <c r="I138" s="1">
        <f t="shared" si="15"/>
        <v>55.23448905109489</v>
      </c>
      <c r="J138" s="2"/>
      <c r="L138" s="37"/>
    </row>
    <row r="139" spans="1:12" ht="27.75" customHeight="1" hidden="1">
      <c r="A139" s="17" t="s">
        <v>343</v>
      </c>
      <c r="B139" s="48" t="s">
        <v>340</v>
      </c>
      <c r="C139" s="24" t="s">
        <v>7</v>
      </c>
      <c r="D139" s="1"/>
      <c r="E139" s="1"/>
      <c r="F139" s="4"/>
      <c r="G139" s="5">
        <f>F139-L137</f>
        <v>0</v>
      </c>
      <c r="H139" s="4">
        <f t="shared" si="14"/>
        <v>0</v>
      </c>
      <c r="I139" s="1" t="e">
        <f t="shared" si="15"/>
        <v>#DIV/0!</v>
      </c>
      <c r="J139" s="2"/>
      <c r="L139" s="37"/>
    </row>
    <row r="140" spans="1:12" ht="31.5" customHeight="1" hidden="1">
      <c r="A140" s="17" t="s">
        <v>416</v>
      </c>
      <c r="B140" s="64" t="s">
        <v>464</v>
      </c>
      <c r="C140" s="87" t="s">
        <v>199</v>
      </c>
      <c r="D140" s="88">
        <f>D141</f>
        <v>0</v>
      </c>
      <c r="E140" s="88">
        <f>E141</f>
        <v>50</v>
      </c>
      <c r="F140" s="88">
        <f>F141</f>
        <v>0</v>
      </c>
      <c r="G140" s="89">
        <f>G141</f>
        <v>0</v>
      </c>
      <c r="H140" s="5">
        <f t="shared" si="14"/>
        <v>0</v>
      </c>
      <c r="I140" s="6" t="e">
        <f t="shared" si="15"/>
        <v>#DIV/0!</v>
      </c>
      <c r="J140" s="2"/>
      <c r="L140" s="37"/>
    </row>
    <row r="141" spans="1:12" ht="29.25" customHeight="1" hidden="1">
      <c r="A141" s="19" t="s">
        <v>416</v>
      </c>
      <c r="B141" s="49" t="s">
        <v>417</v>
      </c>
      <c r="C141" s="7" t="s">
        <v>202</v>
      </c>
      <c r="D141" s="9">
        <v>0</v>
      </c>
      <c r="E141" s="9">
        <v>50</v>
      </c>
      <c r="F141" s="4">
        <v>0</v>
      </c>
      <c r="G141" s="5">
        <f>F141-L140</f>
        <v>0</v>
      </c>
      <c r="H141" s="4">
        <f t="shared" si="14"/>
        <v>0</v>
      </c>
      <c r="I141" s="1" t="e">
        <f t="shared" si="15"/>
        <v>#DIV/0!</v>
      </c>
      <c r="J141" s="2"/>
      <c r="L141" s="2"/>
    </row>
    <row r="142" spans="1:12" ht="30" customHeight="1" hidden="1">
      <c r="A142" s="19" t="s">
        <v>416</v>
      </c>
      <c r="B142" s="49" t="s">
        <v>478</v>
      </c>
      <c r="C142" s="7" t="s">
        <v>480</v>
      </c>
      <c r="D142" s="9"/>
      <c r="E142" s="9"/>
      <c r="F142" s="4"/>
      <c r="G142" s="5"/>
      <c r="H142" s="4">
        <f t="shared" si="14"/>
        <v>0</v>
      </c>
      <c r="I142" s="1" t="e">
        <f t="shared" si="15"/>
        <v>#DIV/0!</v>
      </c>
      <c r="J142" s="2"/>
      <c r="L142" s="2"/>
    </row>
    <row r="143" spans="1:12" ht="31.5">
      <c r="A143" s="17"/>
      <c r="B143" s="64" t="s">
        <v>367</v>
      </c>
      <c r="C143" s="74" t="s">
        <v>198</v>
      </c>
      <c r="D143" s="6">
        <f>SUM(D144:D148)</f>
        <v>927.5409999999999</v>
      </c>
      <c r="E143" s="6">
        <f>SUM(E144:E148)</f>
        <v>447.1</v>
      </c>
      <c r="F143" s="6">
        <f>SUM(F144:F148)</f>
        <v>879.80423</v>
      </c>
      <c r="G143" s="6">
        <f>SUM(G144:G146)</f>
        <v>465.59303</v>
      </c>
      <c r="H143" s="5">
        <f t="shared" si="14"/>
        <v>-47.73676999999998</v>
      </c>
      <c r="I143" s="6">
        <f t="shared" si="15"/>
        <v>94.85340594108509</v>
      </c>
      <c r="J143" s="2"/>
      <c r="L143" s="37"/>
    </row>
    <row r="144" spans="1:12" ht="50.25" customHeight="1" hidden="1">
      <c r="A144" s="17" t="s">
        <v>326</v>
      </c>
      <c r="B144" s="64" t="s">
        <v>327</v>
      </c>
      <c r="C144" s="55" t="s">
        <v>9</v>
      </c>
      <c r="D144" s="6">
        <v>0</v>
      </c>
      <c r="E144" s="6">
        <v>140</v>
      </c>
      <c r="F144" s="5"/>
      <c r="G144" s="5">
        <f>F144-L143</f>
        <v>0</v>
      </c>
      <c r="H144" s="5">
        <f t="shared" si="14"/>
        <v>0</v>
      </c>
      <c r="I144" s="6" t="e">
        <f t="shared" si="15"/>
        <v>#DIV/0!</v>
      </c>
      <c r="J144" s="2"/>
      <c r="L144" s="37"/>
    </row>
    <row r="145" spans="1:12" ht="48" customHeight="1">
      <c r="A145" s="17" t="s">
        <v>326</v>
      </c>
      <c r="B145" s="64" t="s">
        <v>327</v>
      </c>
      <c r="C145" s="55" t="s">
        <v>195</v>
      </c>
      <c r="D145" s="6">
        <v>487.546</v>
      </c>
      <c r="E145" s="6">
        <v>292.6</v>
      </c>
      <c r="F145" s="5">
        <v>448.80703</v>
      </c>
      <c r="G145" s="5">
        <f>F145-L144</f>
        <v>448.80703</v>
      </c>
      <c r="H145" s="5">
        <f t="shared" si="14"/>
        <v>-38.738969999999995</v>
      </c>
      <c r="I145" s="6">
        <f t="shared" si="15"/>
        <v>92.05429436401899</v>
      </c>
      <c r="J145" s="2"/>
      <c r="L145" s="37"/>
    </row>
    <row r="146" spans="1:12" ht="48.75" customHeight="1">
      <c r="A146" s="17" t="s">
        <v>326</v>
      </c>
      <c r="B146" s="64" t="s">
        <v>389</v>
      </c>
      <c r="C146" s="63" t="s">
        <v>196</v>
      </c>
      <c r="D146" s="6">
        <v>18</v>
      </c>
      <c r="E146" s="6">
        <v>12.5</v>
      </c>
      <c r="F146" s="5">
        <v>16.786</v>
      </c>
      <c r="G146" s="5">
        <f>F146-L145</f>
        <v>16.786</v>
      </c>
      <c r="H146" s="5">
        <f t="shared" si="14"/>
        <v>-1.2139999999999986</v>
      </c>
      <c r="I146" s="6">
        <f t="shared" si="15"/>
        <v>93.25555555555556</v>
      </c>
      <c r="J146" s="2"/>
      <c r="L146" s="37"/>
    </row>
    <row r="147" spans="1:12" ht="31.5" hidden="1">
      <c r="A147" s="17" t="s">
        <v>328</v>
      </c>
      <c r="B147" s="64" t="s">
        <v>435</v>
      </c>
      <c r="C147" s="63" t="s">
        <v>10</v>
      </c>
      <c r="D147" s="6">
        <v>0</v>
      </c>
      <c r="E147" s="6">
        <v>2</v>
      </c>
      <c r="F147" s="5">
        <v>0</v>
      </c>
      <c r="G147" s="5">
        <f>F147-L146</f>
        <v>0</v>
      </c>
      <c r="H147" s="5">
        <f t="shared" si="14"/>
        <v>0</v>
      </c>
      <c r="I147" s="6" t="e">
        <f t="shared" si="15"/>
        <v>#DIV/0!</v>
      </c>
      <c r="J147" s="2"/>
      <c r="L147" s="37"/>
    </row>
    <row r="148" spans="1:12" ht="49.5" customHeight="1">
      <c r="A148" s="17" t="s">
        <v>326</v>
      </c>
      <c r="B148" s="64" t="s">
        <v>327</v>
      </c>
      <c r="C148" s="63" t="s">
        <v>225</v>
      </c>
      <c r="D148" s="6">
        <v>421.995</v>
      </c>
      <c r="E148" s="6"/>
      <c r="F148" s="5">
        <v>414.2112</v>
      </c>
      <c r="G148" s="5"/>
      <c r="H148" s="5">
        <f t="shared" si="14"/>
        <v>-7.783799999999985</v>
      </c>
      <c r="I148" s="6">
        <f t="shared" si="15"/>
        <v>98.15547577577934</v>
      </c>
      <c r="J148" s="2"/>
      <c r="L148" s="37"/>
    </row>
    <row r="149" spans="1:12" ht="31.5">
      <c r="A149" s="17"/>
      <c r="B149" s="64" t="s">
        <v>48</v>
      </c>
      <c r="C149" s="63" t="s">
        <v>197</v>
      </c>
      <c r="D149" s="6">
        <f>D150+D151+D152+D155+D153+D154</f>
        <v>491.14347</v>
      </c>
      <c r="E149" s="6">
        <f>E150+E151+E152+E155+E153+E154</f>
        <v>10</v>
      </c>
      <c r="F149" s="6">
        <f>F150+F151+F152+F155+F153+F154</f>
        <v>319.62199000000004</v>
      </c>
      <c r="G149" s="5"/>
      <c r="H149" s="5">
        <f t="shared" si="14"/>
        <v>-171.52147999999994</v>
      </c>
      <c r="I149" s="6">
        <f t="shared" si="15"/>
        <v>65.07711280371905</v>
      </c>
      <c r="J149" s="2"/>
      <c r="L149" s="37"/>
    </row>
    <row r="150" spans="1:12" ht="65.25" customHeight="1">
      <c r="A150" s="17"/>
      <c r="B150" s="64" t="s">
        <v>435</v>
      </c>
      <c r="C150" s="63" t="s">
        <v>129</v>
      </c>
      <c r="D150" s="6">
        <f>20.385-5</f>
        <v>15.385000000000002</v>
      </c>
      <c r="E150" s="6"/>
      <c r="F150" s="5">
        <v>0.505</v>
      </c>
      <c r="G150" s="5"/>
      <c r="H150" s="5">
        <f t="shared" si="14"/>
        <v>-14.88</v>
      </c>
      <c r="I150" s="6">
        <f t="shared" si="15"/>
        <v>3.282417939551511</v>
      </c>
      <c r="J150" s="2"/>
      <c r="L150" s="37"/>
    </row>
    <row r="151" spans="1:12" ht="63">
      <c r="A151" s="17" t="s">
        <v>328</v>
      </c>
      <c r="B151" s="64" t="s">
        <v>435</v>
      </c>
      <c r="C151" s="63" t="s">
        <v>201</v>
      </c>
      <c r="D151" s="6">
        <f>15.75847</f>
        <v>15.75847</v>
      </c>
      <c r="E151" s="6">
        <v>10</v>
      </c>
      <c r="F151" s="5">
        <v>4.54347</v>
      </c>
      <c r="G151" s="5">
        <f>F151-L147</f>
        <v>4.54347</v>
      </c>
      <c r="H151" s="5">
        <f t="shared" si="14"/>
        <v>-11.215</v>
      </c>
      <c r="I151" s="6">
        <f t="shared" si="15"/>
        <v>28.83192340373145</v>
      </c>
      <c r="J151" s="2"/>
      <c r="L151" s="37"/>
    </row>
    <row r="152" spans="1:12" ht="47.25">
      <c r="A152" s="25" t="s">
        <v>328</v>
      </c>
      <c r="B152" s="64" t="s">
        <v>435</v>
      </c>
      <c r="C152" s="63" t="s">
        <v>226</v>
      </c>
      <c r="D152" s="6">
        <v>30</v>
      </c>
      <c r="E152" s="6"/>
      <c r="F152" s="5">
        <v>7.8</v>
      </c>
      <c r="G152" s="5"/>
      <c r="H152" s="5">
        <f t="shared" si="14"/>
        <v>-22.2</v>
      </c>
      <c r="I152" s="6">
        <f t="shared" si="15"/>
        <v>26</v>
      </c>
      <c r="J152" s="2"/>
      <c r="L152" s="37"/>
    </row>
    <row r="153" spans="1:12" ht="63.75" customHeight="1">
      <c r="A153" s="25"/>
      <c r="B153" s="64" t="s">
        <v>435</v>
      </c>
      <c r="C153" s="63" t="s">
        <v>201</v>
      </c>
      <c r="D153" s="6">
        <v>406</v>
      </c>
      <c r="E153" s="6"/>
      <c r="F153" s="5">
        <v>287.97352</v>
      </c>
      <c r="G153" s="5"/>
      <c r="H153" s="5">
        <f t="shared" si="14"/>
        <v>-118.02647999999999</v>
      </c>
      <c r="I153" s="6">
        <f t="shared" si="15"/>
        <v>70.92943842364532</v>
      </c>
      <c r="J153" s="2"/>
      <c r="L153" s="37"/>
    </row>
    <row r="154" spans="1:12" ht="31.5">
      <c r="A154" s="25"/>
      <c r="B154" s="64" t="s">
        <v>435</v>
      </c>
      <c r="C154" s="63" t="s">
        <v>130</v>
      </c>
      <c r="D154" s="6">
        <v>19</v>
      </c>
      <c r="E154" s="6"/>
      <c r="F154" s="5">
        <v>18.8</v>
      </c>
      <c r="G154" s="5"/>
      <c r="H154" s="5">
        <f t="shared" si="14"/>
        <v>-0.1999999999999993</v>
      </c>
      <c r="I154" s="6">
        <f t="shared" si="15"/>
        <v>98.94736842105264</v>
      </c>
      <c r="J154" s="2"/>
      <c r="L154" s="37"/>
    </row>
    <row r="155" spans="1:12" ht="30.75" customHeight="1">
      <c r="A155" s="25" t="s">
        <v>328</v>
      </c>
      <c r="B155" s="64" t="s">
        <v>203</v>
      </c>
      <c r="C155" s="63" t="s">
        <v>204</v>
      </c>
      <c r="D155" s="6">
        <v>5</v>
      </c>
      <c r="E155" s="6"/>
      <c r="F155" s="5">
        <v>0</v>
      </c>
      <c r="G155" s="5"/>
      <c r="H155" s="5">
        <f t="shared" si="14"/>
        <v>-5</v>
      </c>
      <c r="I155" s="6">
        <f t="shared" si="15"/>
        <v>0</v>
      </c>
      <c r="J155" s="2"/>
      <c r="L155" s="37"/>
    </row>
    <row r="156" spans="1:12" ht="32.25" customHeight="1">
      <c r="A156" s="17" t="s">
        <v>418</v>
      </c>
      <c r="B156" s="64" t="s">
        <v>465</v>
      </c>
      <c r="C156" s="55" t="s">
        <v>207</v>
      </c>
      <c r="D156" s="6">
        <f>D157+D158</f>
        <v>289.1</v>
      </c>
      <c r="E156" s="6">
        <f>E157+E158</f>
        <v>119.7</v>
      </c>
      <c r="F156" s="6">
        <f>F157+F158</f>
        <v>246.85811</v>
      </c>
      <c r="G156" s="5"/>
      <c r="H156" s="5">
        <f t="shared" si="14"/>
        <v>-42.24189000000001</v>
      </c>
      <c r="I156" s="6">
        <f t="shared" si="15"/>
        <v>85.38848495330336</v>
      </c>
      <c r="J156" s="2"/>
      <c r="L156" s="37"/>
    </row>
    <row r="157" spans="1:12" ht="60" customHeight="1">
      <c r="A157" s="17" t="s">
        <v>418</v>
      </c>
      <c r="B157" s="64" t="s">
        <v>347</v>
      </c>
      <c r="C157" s="55" t="s">
        <v>208</v>
      </c>
      <c r="D157" s="6">
        <f>42.5-3-5</f>
        <v>34.5</v>
      </c>
      <c r="E157" s="6">
        <v>20</v>
      </c>
      <c r="F157" s="5">
        <v>19.203</v>
      </c>
      <c r="G157" s="5">
        <f>F157-L156</f>
        <v>19.203</v>
      </c>
      <c r="H157" s="5">
        <f t="shared" si="14"/>
        <v>-15.297</v>
      </c>
      <c r="I157" s="6">
        <f t="shared" si="15"/>
        <v>55.66086956521738</v>
      </c>
      <c r="J157" s="2"/>
      <c r="L157" s="37"/>
    </row>
    <row r="158" spans="1:12" ht="31.5">
      <c r="A158" s="17" t="s">
        <v>418</v>
      </c>
      <c r="B158" s="64" t="s">
        <v>339</v>
      </c>
      <c r="C158" s="55" t="s">
        <v>472</v>
      </c>
      <c r="D158" s="6">
        <v>254.6</v>
      </c>
      <c r="E158" s="6">
        <v>99.7</v>
      </c>
      <c r="F158" s="5">
        <v>227.65511</v>
      </c>
      <c r="G158" s="5">
        <f>F158-L157</f>
        <v>227.65511</v>
      </c>
      <c r="H158" s="5">
        <f t="shared" si="14"/>
        <v>-26.944889999999987</v>
      </c>
      <c r="I158" s="6">
        <f t="shared" si="15"/>
        <v>89.41677533385703</v>
      </c>
      <c r="J158" s="2"/>
      <c r="L158" s="37"/>
    </row>
    <row r="159" spans="1:12" ht="15" customHeight="1">
      <c r="A159" s="17"/>
      <c r="B159" s="64" t="s">
        <v>466</v>
      </c>
      <c r="C159" s="55" t="s">
        <v>209</v>
      </c>
      <c r="D159" s="6">
        <f>D161+D170+D172+D173+D174+D175+D176+D177+D180+D179+D171+D162+D178</f>
        <v>515.20534</v>
      </c>
      <c r="E159" s="6">
        <f>E161+E170+E172+E173+E174+E175+E176+E177+E180+E179+E171+E162+E178</f>
        <v>0</v>
      </c>
      <c r="F159" s="6">
        <f>F161+F170+F172+F173+F174+F175+F176+F177+F180+F179+F171+F162+F178</f>
        <v>355.54974</v>
      </c>
      <c r="G159" s="6" t="e">
        <f>G160+G161+G162+G163+G166+G167+G172+G173+G180+#REF!+#REF!+#REF!</f>
        <v>#REF!</v>
      </c>
      <c r="H159" s="5">
        <f t="shared" si="14"/>
        <v>-159.6556</v>
      </c>
      <c r="I159" s="6">
        <f t="shared" si="15"/>
        <v>69.01126840028483</v>
      </c>
      <c r="J159" s="2"/>
      <c r="L159" s="37"/>
    </row>
    <row r="160" spans="1:12" ht="13.5" customHeight="1" hidden="1">
      <c r="A160" s="17" t="s">
        <v>329</v>
      </c>
      <c r="B160" s="48" t="s">
        <v>330</v>
      </c>
      <c r="C160" s="18" t="s">
        <v>364</v>
      </c>
      <c r="D160" s="1">
        <v>0</v>
      </c>
      <c r="E160" s="1">
        <v>60</v>
      </c>
      <c r="F160" s="4">
        <v>0</v>
      </c>
      <c r="G160" s="5">
        <f>F160-L159</f>
        <v>0</v>
      </c>
      <c r="H160" s="4">
        <f t="shared" si="14"/>
        <v>0</v>
      </c>
      <c r="I160" s="1" t="e">
        <f t="shared" si="15"/>
        <v>#DIV/0!</v>
      </c>
      <c r="J160" s="2"/>
      <c r="L160" s="2"/>
    </row>
    <row r="161" spans="1:12" ht="47.25" hidden="1">
      <c r="A161" s="17" t="s">
        <v>329</v>
      </c>
      <c r="B161" s="64" t="s">
        <v>428</v>
      </c>
      <c r="C161" s="55" t="s">
        <v>210</v>
      </c>
      <c r="D161" s="6"/>
      <c r="E161" s="6"/>
      <c r="F161" s="6"/>
      <c r="G161" s="5">
        <f>F161-L160</f>
        <v>0</v>
      </c>
      <c r="H161" s="5">
        <f t="shared" si="14"/>
        <v>0</v>
      </c>
      <c r="I161" s="6" t="e">
        <f t="shared" si="15"/>
        <v>#DIV/0!</v>
      </c>
      <c r="J161" s="2"/>
      <c r="L161" s="37"/>
    </row>
    <row r="162" spans="1:12" ht="47.25">
      <c r="A162" s="17" t="s">
        <v>332</v>
      </c>
      <c r="B162" s="48" t="s">
        <v>428</v>
      </c>
      <c r="C162" s="7" t="s">
        <v>211</v>
      </c>
      <c r="D162" s="1">
        <v>67.5</v>
      </c>
      <c r="E162" s="1"/>
      <c r="F162" s="4">
        <v>60.22863</v>
      </c>
      <c r="G162" s="5">
        <f>F162-L161</f>
        <v>60.22863</v>
      </c>
      <c r="H162" s="4">
        <f t="shared" si="14"/>
        <v>-7.2713699999999974</v>
      </c>
      <c r="I162" s="1">
        <f t="shared" si="15"/>
        <v>89.22760000000001</v>
      </c>
      <c r="J162" s="2"/>
      <c r="L162" s="37"/>
    </row>
    <row r="163" spans="1:12" ht="0.75" customHeight="1">
      <c r="A163" s="19" t="s">
        <v>332</v>
      </c>
      <c r="B163" s="49" t="s">
        <v>338</v>
      </c>
      <c r="C163" s="26" t="s">
        <v>3</v>
      </c>
      <c r="D163" s="1">
        <v>0</v>
      </c>
      <c r="E163" s="1"/>
      <c r="F163" s="4"/>
      <c r="G163" s="5">
        <f>F163-L162</f>
        <v>0</v>
      </c>
      <c r="H163" s="4">
        <f t="shared" si="14"/>
        <v>0</v>
      </c>
      <c r="I163" s="1" t="e">
        <f t="shared" si="15"/>
        <v>#DIV/0!</v>
      </c>
      <c r="J163" s="2"/>
      <c r="L163" s="2"/>
    </row>
    <row r="164" spans="1:12" ht="31.5" hidden="1">
      <c r="A164" s="17" t="s">
        <v>329</v>
      </c>
      <c r="B164" s="48" t="s">
        <v>331</v>
      </c>
      <c r="C164" s="7" t="s">
        <v>437</v>
      </c>
      <c r="D164" s="1"/>
      <c r="E164" s="1">
        <v>0</v>
      </c>
      <c r="F164" s="1"/>
      <c r="G164" s="5">
        <f>F164-L163</f>
        <v>0</v>
      </c>
      <c r="H164" s="4">
        <f t="shared" si="14"/>
        <v>0</v>
      </c>
      <c r="I164" s="1" t="e">
        <f t="shared" si="15"/>
        <v>#DIV/0!</v>
      </c>
      <c r="J164" s="2"/>
      <c r="L164" s="2"/>
    </row>
    <row r="165" spans="1:12" ht="15.75" hidden="1">
      <c r="A165" s="25"/>
      <c r="B165" s="51"/>
      <c r="C165" s="7"/>
      <c r="D165" s="10"/>
      <c r="E165" s="10"/>
      <c r="F165" s="10"/>
      <c r="G165" s="8"/>
      <c r="H165" s="8"/>
      <c r="I165" s="10"/>
      <c r="J165" s="2"/>
      <c r="L165" s="2"/>
    </row>
    <row r="166" spans="1:12" ht="47.25" hidden="1">
      <c r="A166" s="17" t="s">
        <v>329</v>
      </c>
      <c r="B166" s="48" t="s">
        <v>331</v>
      </c>
      <c r="C166" s="7" t="s">
        <v>5</v>
      </c>
      <c r="D166" s="6"/>
      <c r="E166" s="1"/>
      <c r="F166" s="1"/>
      <c r="G166" s="5"/>
      <c r="H166" s="4">
        <f aca="true" t="shared" si="16" ref="H166:H185">F166-D166</f>
        <v>0</v>
      </c>
      <c r="I166" s="1" t="e">
        <f aca="true" t="shared" si="17" ref="I166:I185">F166/D166*100</f>
        <v>#DIV/0!</v>
      </c>
      <c r="J166" s="2"/>
      <c r="L166" s="2"/>
    </row>
    <row r="167" spans="1:12" ht="15.75" hidden="1">
      <c r="A167" s="17" t="s">
        <v>329</v>
      </c>
      <c r="B167" s="48" t="s">
        <v>331</v>
      </c>
      <c r="C167" s="7" t="s">
        <v>4</v>
      </c>
      <c r="D167" s="6"/>
      <c r="E167" s="1">
        <v>0.3</v>
      </c>
      <c r="F167" s="1"/>
      <c r="G167" s="5">
        <f>F167-L165</f>
        <v>0</v>
      </c>
      <c r="H167" s="4">
        <f t="shared" si="16"/>
        <v>0</v>
      </c>
      <c r="I167" s="1" t="e">
        <f t="shared" si="17"/>
        <v>#DIV/0!</v>
      </c>
      <c r="J167" s="2"/>
      <c r="L167" s="2"/>
    </row>
    <row r="168" spans="1:12" ht="15.75" hidden="1">
      <c r="A168" s="17" t="s">
        <v>329</v>
      </c>
      <c r="B168" s="48" t="s">
        <v>331</v>
      </c>
      <c r="C168" s="7" t="s">
        <v>450</v>
      </c>
      <c r="D168" s="11">
        <v>0</v>
      </c>
      <c r="E168" s="1">
        <v>2.5</v>
      </c>
      <c r="F168" s="1">
        <v>0</v>
      </c>
      <c r="G168" s="5">
        <f>F168-L167</f>
        <v>0</v>
      </c>
      <c r="H168" s="4">
        <f t="shared" si="16"/>
        <v>0</v>
      </c>
      <c r="I168" s="1" t="e">
        <f t="shared" si="17"/>
        <v>#DIV/0!</v>
      </c>
      <c r="J168" s="2"/>
      <c r="L168" s="2"/>
    </row>
    <row r="169" spans="1:12" ht="31.5" hidden="1">
      <c r="A169" s="17" t="s">
        <v>329</v>
      </c>
      <c r="B169" s="48" t="s">
        <v>331</v>
      </c>
      <c r="C169" s="7" t="s">
        <v>477</v>
      </c>
      <c r="D169" s="6"/>
      <c r="E169" s="1">
        <v>50</v>
      </c>
      <c r="F169" s="1">
        <v>0</v>
      </c>
      <c r="G169" s="5">
        <f>F169-L168</f>
        <v>0</v>
      </c>
      <c r="H169" s="4">
        <f t="shared" si="16"/>
        <v>0</v>
      </c>
      <c r="I169" s="1" t="e">
        <f t="shared" si="17"/>
        <v>#DIV/0!</v>
      </c>
      <c r="J169" s="2"/>
      <c r="L169" s="2"/>
    </row>
    <row r="170" spans="1:12" ht="15.75" hidden="1">
      <c r="A170" s="17" t="s">
        <v>329</v>
      </c>
      <c r="B170" s="48" t="s">
        <v>330</v>
      </c>
      <c r="C170" s="7" t="s">
        <v>364</v>
      </c>
      <c r="D170" s="6"/>
      <c r="E170" s="1"/>
      <c r="F170" s="1">
        <v>0</v>
      </c>
      <c r="G170" s="5"/>
      <c r="H170" s="4">
        <f t="shared" si="16"/>
        <v>0</v>
      </c>
      <c r="I170" s="1" t="e">
        <f t="shared" si="17"/>
        <v>#DIV/0!</v>
      </c>
      <c r="J170" s="2"/>
      <c r="L170" s="2"/>
    </row>
    <row r="171" spans="1:12" ht="47.25" hidden="1">
      <c r="A171" s="17"/>
      <c r="B171" s="48" t="s">
        <v>80</v>
      </c>
      <c r="C171" s="7" t="s">
        <v>81</v>
      </c>
      <c r="D171" s="6"/>
      <c r="E171" s="1"/>
      <c r="F171" s="1">
        <v>0</v>
      </c>
      <c r="G171" s="5"/>
      <c r="H171" s="4">
        <f t="shared" si="16"/>
        <v>0</v>
      </c>
      <c r="I171" s="1" t="e">
        <f t="shared" si="17"/>
        <v>#DIV/0!</v>
      </c>
      <c r="J171" s="2"/>
      <c r="L171" s="2"/>
    </row>
    <row r="172" spans="1:12" ht="48.75" customHeight="1">
      <c r="A172" s="17" t="s">
        <v>332</v>
      </c>
      <c r="B172" s="48" t="s">
        <v>467</v>
      </c>
      <c r="C172" s="7" t="s">
        <v>227</v>
      </c>
      <c r="D172" s="6">
        <v>119</v>
      </c>
      <c r="E172" s="1"/>
      <c r="F172" s="1">
        <v>97.69391</v>
      </c>
      <c r="G172" s="5"/>
      <c r="H172" s="4">
        <f t="shared" si="16"/>
        <v>-21.306089999999998</v>
      </c>
      <c r="I172" s="1">
        <f t="shared" si="17"/>
        <v>82.09572268907563</v>
      </c>
      <c r="J172" s="2"/>
      <c r="L172" s="2"/>
    </row>
    <row r="173" spans="1:12" ht="63">
      <c r="A173" s="17" t="s">
        <v>332</v>
      </c>
      <c r="B173" s="48" t="s">
        <v>467</v>
      </c>
      <c r="C173" s="7" t="s">
        <v>212</v>
      </c>
      <c r="D173" s="6">
        <v>19.7</v>
      </c>
      <c r="E173" s="1"/>
      <c r="F173" s="1">
        <v>14.67373</v>
      </c>
      <c r="G173" s="5"/>
      <c r="H173" s="4">
        <f t="shared" si="16"/>
        <v>-5.0262699999999985</v>
      </c>
      <c r="I173" s="1">
        <f t="shared" si="17"/>
        <v>74.48593908629442</v>
      </c>
      <c r="J173" s="2"/>
      <c r="L173" s="2"/>
    </row>
    <row r="174" spans="1:12" ht="63">
      <c r="A174" s="17"/>
      <c r="B174" s="48" t="s">
        <v>467</v>
      </c>
      <c r="C174" s="7" t="s">
        <v>228</v>
      </c>
      <c r="D174" s="6">
        <v>64.834</v>
      </c>
      <c r="E174" s="1"/>
      <c r="F174" s="1">
        <v>21.04471</v>
      </c>
      <c r="G174" s="5"/>
      <c r="H174" s="4">
        <f t="shared" si="16"/>
        <v>-43.78929000000001</v>
      </c>
      <c r="I174" s="1">
        <f t="shared" si="17"/>
        <v>32.45937316839929</v>
      </c>
      <c r="J174" s="2"/>
      <c r="L174" s="2"/>
    </row>
    <row r="175" spans="1:12" ht="78.75">
      <c r="A175" s="17"/>
      <c r="B175" s="48" t="s">
        <v>467</v>
      </c>
      <c r="C175" s="7" t="s">
        <v>273</v>
      </c>
      <c r="D175" s="6">
        <v>15</v>
      </c>
      <c r="E175" s="1"/>
      <c r="F175" s="1">
        <v>12.57388</v>
      </c>
      <c r="G175" s="5"/>
      <c r="H175" s="4">
        <f t="shared" si="16"/>
        <v>-2.426119999999999</v>
      </c>
      <c r="I175" s="1">
        <f t="shared" si="17"/>
        <v>83.82586666666667</v>
      </c>
      <c r="J175" s="2"/>
      <c r="L175" s="2"/>
    </row>
    <row r="176" spans="1:12" ht="63">
      <c r="A176" s="17"/>
      <c r="B176" s="48" t="s">
        <v>467</v>
      </c>
      <c r="C176" s="7" t="s">
        <v>214</v>
      </c>
      <c r="D176" s="6">
        <v>45</v>
      </c>
      <c r="E176" s="1"/>
      <c r="F176" s="1">
        <v>35.78078</v>
      </c>
      <c r="G176" s="5"/>
      <c r="H176" s="4">
        <f t="shared" si="16"/>
        <v>-9.21922</v>
      </c>
      <c r="I176" s="1">
        <f t="shared" si="17"/>
        <v>79.51284444444444</v>
      </c>
      <c r="J176" s="2"/>
      <c r="L176" s="2"/>
    </row>
    <row r="177" spans="1:12" ht="78" customHeight="1">
      <c r="A177" s="17"/>
      <c r="B177" s="48" t="s">
        <v>467</v>
      </c>
      <c r="C177" s="7" t="s">
        <v>215</v>
      </c>
      <c r="D177" s="6">
        <v>23.5</v>
      </c>
      <c r="E177" s="1"/>
      <c r="F177" s="1">
        <v>22.744</v>
      </c>
      <c r="G177" s="5"/>
      <c r="H177" s="4">
        <f t="shared" si="16"/>
        <v>-0.7560000000000002</v>
      </c>
      <c r="I177" s="1">
        <f t="shared" si="17"/>
        <v>96.78297872340426</v>
      </c>
      <c r="J177" s="2"/>
      <c r="L177" s="2"/>
    </row>
    <row r="178" spans="1:12" ht="76.5" customHeight="1">
      <c r="A178" s="17"/>
      <c r="B178" s="48" t="s">
        <v>467</v>
      </c>
      <c r="C178" s="7" t="s">
        <v>96</v>
      </c>
      <c r="D178" s="6">
        <v>25</v>
      </c>
      <c r="E178" s="1"/>
      <c r="F178" s="1">
        <v>0</v>
      </c>
      <c r="G178" s="5"/>
      <c r="H178" s="4">
        <f t="shared" si="16"/>
        <v>-25</v>
      </c>
      <c r="I178" s="1">
        <f t="shared" si="17"/>
        <v>0</v>
      </c>
      <c r="J178" s="2"/>
      <c r="L178" s="2"/>
    </row>
    <row r="179" spans="1:12" ht="78.75">
      <c r="A179" s="17"/>
      <c r="B179" s="48" t="s">
        <v>467</v>
      </c>
      <c r="C179" s="7" t="s">
        <v>79</v>
      </c>
      <c r="D179" s="6">
        <v>9.6</v>
      </c>
      <c r="E179" s="1"/>
      <c r="F179" s="1">
        <v>0</v>
      </c>
      <c r="G179" s="5"/>
      <c r="H179" s="4">
        <f t="shared" si="16"/>
        <v>-9.6</v>
      </c>
      <c r="I179" s="1">
        <f t="shared" si="17"/>
        <v>0</v>
      </c>
      <c r="J179" s="2"/>
      <c r="L179" s="2"/>
    </row>
    <row r="180" spans="1:12" ht="14.25" customHeight="1">
      <c r="A180" s="17" t="s">
        <v>332</v>
      </c>
      <c r="B180" s="48" t="s">
        <v>331</v>
      </c>
      <c r="C180" s="7" t="s">
        <v>216</v>
      </c>
      <c r="D180" s="6">
        <v>126.07134</v>
      </c>
      <c r="E180" s="1"/>
      <c r="F180" s="1">
        <v>90.8101</v>
      </c>
      <c r="G180" s="5"/>
      <c r="H180" s="4">
        <f t="shared" si="16"/>
        <v>-35.26124</v>
      </c>
      <c r="I180" s="1">
        <f t="shared" si="17"/>
        <v>72.0307248261183</v>
      </c>
      <c r="J180" s="2"/>
      <c r="L180" s="2"/>
    </row>
    <row r="181" spans="1:12" ht="13.5" customHeight="1" hidden="1">
      <c r="A181" s="17"/>
      <c r="B181" s="48" t="s">
        <v>467</v>
      </c>
      <c r="C181" s="7" t="s">
        <v>16</v>
      </c>
      <c r="D181" s="6"/>
      <c r="E181" s="1"/>
      <c r="F181" s="1">
        <v>0</v>
      </c>
      <c r="G181" s="5"/>
      <c r="H181" s="4">
        <f t="shared" si="16"/>
        <v>0</v>
      </c>
      <c r="I181" s="1" t="e">
        <f t="shared" si="17"/>
        <v>#DIV/0!</v>
      </c>
      <c r="J181" s="2"/>
      <c r="L181" s="2"/>
    </row>
    <row r="182" spans="1:12" ht="15.75">
      <c r="A182" s="90"/>
      <c r="B182" s="64"/>
      <c r="C182" s="55" t="s">
        <v>419</v>
      </c>
      <c r="D182" s="6">
        <f>D10+D20+D21+D38+D114+D122+D129+D134+D140+D143+D149+D156+D159</f>
        <v>124496.92166</v>
      </c>
      <c r="E182" s="6">
        <f>E10+E20+E21+E38+E114+E122+E129+E134+E140+E143+E149+E156+E159</f>
        <v>36216.49999999999</v>
      </c>
      <c r="F182" s="6">
        <f>F10+F20+F21+F38+F114+F122+F129+F134+F140+F143+F149+F156+F159</f>
        <v>106561.60136000002</v>
      </c>
      <c r="G182" s="6" t="e">
        <f>G10+G21+G36+G38+G114+G122+G129+G134+G139+G141+G143+G147+G151+G157+G158+G160+G161+G163+G162+G164+G165+G167+G168+G169</f>
        <v>#REF!</v>
      </c>
      <c r="H182" s="5">
        <f t="shared" si="16"/>
        <v>-17935.320299999992</v>
      </c>
      <c r="I182" s="6">
        <f t="shared" si="17"/>
        <v>85.59376403781197</v>
      </c>
      <c r="J182" s="2"/>
      <c r="L182" s="37"/>
    </row>
    <row r="183" spans="1:12" ht="18.75" customHeight="1">
      <c r="A183" s="90" t="s">
        <v>332</v>
      </c>
      <c r="B183" s="64" t="s">
        <v>333</v>
      </c>
      <c r="C183" s="55" t="s">
        <v>420</v>
      </c>
      <c r="D183" s="6">
        <v>42313.4</v>
      </c>
      <c r="E183" s="6">
        <v>10216.7</v>
      </c>
      <c r="F183" s="5">
        <v>35333.91089</v>
      </c>
      <c r="G183" s="5">
        <f>F183-L182</f>
        <v>35333.91089</v>
      </c>
      <c r="H183" s="5">
        <f t="shared" si="16"/>
        <v>-6979.489110000002</v>
      </c>
      <c r="I183" s="6">
        <f t="shared" si="17"/>
        <v>83.5052510315881</v>
      </c>
      <c r="J183" s="2"/>
      <c r="L183" s="2"/>
    </row>
    <row r="184" spans="1:12" ht="33.75" customHeight="1">
      <c r="A184" s="90"/>
      <c r="B184" s="64" t="s">
        <v>131</v>
      </c>
      <c r="C184" s="55" t="s">
        <v>404</v>
      </c>
      <c r="D184" s="6">
        <v>135.012</v>
      </c>
      <c r="E184" s="6"/>
      <c r="F184" s="5">
        <v>135.01154</v>
      </c>
      <c r="G184" s="5"/>
      <c r="H184" s="5">
        <f t="shared" si="16"/>
        <v>-0.00046000000000390173</v>
      </c>
      <c r="I184" s="6">
        <f t="shared" si="17"/>
        <v>99.99965928954462</v>
      </c>
      <c r="J184" s="2"/>
      <c r="L184" s="2"/>
    </row>
    <row r="185" spans="1:12" ht="15.75">
      <c r="A185" s="90"/>
      <c r="B185" s="90"/>
      <c r="C185" s="55" t="s">
        <v>289</v>
      </c>
      <c r="D185" s="6">
        <f>SUM(D182:D184)</f>
        <v>166945.33366</v>
      </c>
      <c r="E185" s="6">
        <f>SUM(E182:E184)</f>
        <v>46433.2</v>
      </c>
      <c r="F185" s="6">
        <f>SUM(F182:F184)</f>
        <v>142030.52379000004</v>
      </c>
      <c r="G185" s="6" t="e">
        <f>G182+G183</f>
        <v>#REF!</v>
      </c>
      <c r="H185" s="5">
        <f t="shared" si="16"/>
        <v>-24914.80986999997</v>
      </c>
      <c r="I185" s="6">
        <f t="shared" si="17"/>
        <v>85.07606692335507</v>
      </c>
      <c r="J185" s="58"/>
      <c r="L185" s="29"/>
    </row>
    <row r="186" spans="1:12" ht="15.75">
      <c r="A186" s="111"/>
      <c r="B186" s="111"/>
      <c r="C186" s="111"/>
      <c r="D186" s="111"/>
      <c r="E186" s="111"/>
      <c r="F186" s="111"/>
      <c r="G186" s="111"/>
      <c r="H186" s="111"/>
      <c r="I186" s="112"/>
      <c r="J186" s="58"/>
      <c r="L186" s="29"/>
    </row>
    <row r="187" spans="1:12" s="28" customFormat="1" ht="15.75">
      <c r="A187" s="91"/>
      <c r="B187" s="92"/>
      <c r="C187" s="93" t="s">
        <v>475</v>
      </c>
      <c r="D187" s="71">
        <f>D188+D190+D202+D206+D221+D227+D230+D236+D240+D244+D247+D250+D256+D189</f>
        <v>26745.489979999995</v>
      </c>
      <c r="E187" s="71">
        <f>E188+E190+E202+E206+E221+E227+E230+E236+E240+E244+E247+E250+E256+E189</f>
        <v>116</v>
      </c>
      <c r="F187" s="71">
        <f>F188+F190+F202+F206+F221+F227+F230+F236+F240+F244+F247+F250+F256+F189</f>
        <v>10232.45895</v>
      </c>
      <c r="G187" s="13"/>
      <c r="H187" s="5">
        <f aca="true" t="shared" si="18" ref="H187:H219">F187-D187</f>
        <v>-16513.031029999995</v>
      </c>
      <c r="I187" s="6">
        <f aca="true" t="shared" si="19" ref="I187:I219">F187/D187*100</f>
        <v>38.25863335333071</v>
      </c>
      <c r="J187" s="103"/>
      <c r="L187" s="104"/>
    </row>
    <row r="188" spans="1:12" ht="30" customHeight="1">
      <c r="A188" s="94"/>
      <c r="B188" s="95" t="s">
        <v>237</v>
      </c>
      <c r="C188" s="96" t="s">
        <v>90</v>
      </c>
      <c r="D188" s="71">
        <v>670.81589</v>
      </c>
      <c r="E188" s="71"/>
      <c r="F188" s="71">
        <v>164.09332</v>
      </c>
      <c r="G188" s="13"/>
      <c r="H188" s="5">
        <f t="shared" si="18"/>
        <v>-506.72256999999996</v>
      </c>
      <c r="I188" s="6">
        <f t="shared" si="19"/>
        <v>24.461752091173633</v>
      </c>
      <c r="J188" s="58"/>
      <c r="L188" s="29"/>
    </row>
    <row r="189" spans="1:12" ht="72" customHeight="1" hidden="1">
      <c r="A189" s="94"/>
      <c r="B189" s="95" t="s">
        <v>230</v>
      </c>
      <c r="C189" s="96" t="s">
        <v>231</v>
      </c>
      <c r="D189" s="76">
        <v>0</v>
      </c>
      <c r="E189" s="76"/>
      <c r="F189" s="76">
        <v>0</v>
      </c>
      <c r="G189" s="101"/>
      <c r="H189" s="5">
        <f t="shared" si="18"/>
        <v>0</v>
      </c>
      <c r="I189" s="73" t="e">
        <f t="shared" si="19"/>
        <v>#DIV/0!</v>
      </c>
      <c r="J189" s="58"/>
      <c r="L189" s="29"/>
    </row>
    <row r="190" spans="1:12" ht="34.5" customHeight="1">
      <c r="A190" s="97"/>
      <c r="B190" s="102" t="s">
        <v>298</v>
      </c>
      <c r="C190" s="98" t="s">
        <v>458</v>
      </c>
      <c r="D190" s="76">
        <f>D191+D193+D196+D194+D199+D192+D195+D197+D198+D201+D200</f>
        <v>2277.50287</v>
      </c>
      <c r="E190" s="76">
        <f>E191+E193+E196+E194+E199+E192+E195+E197+E198+E201+E200</f>
        <v>0</v>
      </c>
      <c r="F190" s="76">
        <f>F191+F193+F196+F194+F199+F192+F195+F197+F198+F201+F200</f>
        <v>1138.18775</v>
      </c>
      <c r="G190" s="68"/>
      <c r="H190" s="68">
        <f t="shared" si="18"/>
        <v>-1139.3151199999998</v>
      </c>
      <c r="I190" s="73">
        <f t="shared" si="19"/>
        <v>49.97524986653475</v>
      </c>
      <c r="J190" s="58"/>
      <c r="L190" s="29"/>
    </row>
    <row r="191" spans="1:12" ht="31.5">
      <c r="A191" s="97"/>
      <c r="B191" s="75" t="s">
        <v>356</v>
      </c>
      <c r="C191" s="63" t="s">
        <v>284</v>
      </c>
      <c r="D191" s="76">
        <v>1117.50348</v>
      </c>
      <c r="E191" s="76"/>
      <c r="F191" s="76">
        <v>477.17478</v>
      </c>
      <c r="G191" s="68"/>
      <c r="H191" s="68">
        <f t="shared" si="18"/>
        <v>-640.3287</v>
      </c>
      <c r="I191" s="73">
        <f t="shared" si="19"/>
        <v>42.700071054812284</v>
      </c>
      <c r="J191" s="58"/>
      <c r="L191" s="29"/>
    </row>
    <row r="192" spans="1:12" ht="80.25" customHeight="1">
      <c r="A192" s="27"/>
      <c r="B192" s="75" t="s">
        <v>356</v>
      </c>
      <c r="C192" s="63" t="s">
        <v>82</v>
      </c>
      <c r="D192" s="76">
        <v>0.31044</v>
      </c>
      <c r="E192" s="76"/>
      <c r="F192" s="76">
        <v>0.31044</v>
      </c>
      <c r="G192" s="68"/>
      <c r="H192" s="68">
        <f t="shared" si="18"/>
        <v>0</v>
      </c>
      <c r="I192" s="73">
        <f t="shared" si="19"/>
        <v>100</v>
      </c>
      <c r="J192" s="58"/>
      <c r="L192" s="29"/>
    </row>
    <row r="193" spans="1:12" ht="50.25" customHeight="1">
      <c r="A193" s="27"/>
      <c r="B193" s="75" t="s">
        <v>356</v>
      </c>
      <c r="C193" s="63" t="s">
        <v>184</v>
      </c>
      <c r="D193" s="76">
        <v>38.391</v>
      </c>
      <c r="E193" s="76"/>
      <c r="F193" s="76">
        <v>38.391</v>
      </c>
      <c r="G193" s="68"/>
      <c r="H193" s="68">
        <f t="shared" si="18"/>
        <v>0</v>
      </c>
      <c r="I193" s="73">
        <f t="shared" si="19"/>
        <v>100</v>
      </c>
      <c r="J193" s="58"/>
      <c r="L193" s="29"/>
    </row>
    <row r="194" spans="1:12" ht="32.25" customHeight="1">
      <c r="A194" s="27"/>
      <c r="B194" s="75" t="s">
        <v>358</v>
      </c>
      <c r="C194" s="63" t="s">
        <v>285</v>
      </c>
      <c r="D194" s="76">
        <v>643.80067</v>
      </c>
      <c r="E194" s="76"/>
      <c r="F194" s="76">
        <v>502.17525</v>
      </c>
      <c r="G194" s="68"/>
      <c r="H194" s="68">
        <f t="shared" si="18"/>
        <v>-141.62541999999996</v>
      </c>
      <c r="I194" s="73">
        <f t="shared" si="19"/>
        <v>78.00166626108047</v>
      </c>
      <c r="J194" s="58"/>
      <c r="L194" s="29"/>
    </row>
    <row r="195" spans="1:12" ht="80.25" customHeight="1">
      <c r="A195" s="27"/>
      <c r="B195" s="75" t="s">
        <v>358</v>
      </c>
      <c r="C195" s="63" t="s">
        <v>82</v>
      </c>
      <c r="D195" s="76">
        <f>79.77628+153.972</f>
        <v>233.74828000000002</v>
      </c>
      <c r="E195" s="76"/>
      <c r="F195" s="76">
        <v>79.77628</v>
      </c>
      <c r="G195" s="68"/>
      <c r="H195" s="68">
        <f t="shared" si="18"/>
        <v>-153.97200000000004</v>
      </c>
      <c r="I195" s="73">
        <f t="shared" si="19"/>
        <v>34.12914097164693</v>
      </c>
      <c r="J195" s="58"/>
      <c r="L195" s="29"/>
    </row>
    <row r="196" spans="1:12" ht="49.5" customHeight="1">
      <c r="A196" s="27"/>
      <c r="B196" s="75" t="s">
        <v>358</v>
      </c>
      <c r="C196" s="63" t="s">
        <v>454</v>
      </c>
      <c r="D196" s="76">
        <v>10</v>
      </c>
      <c r="E196" s="76"/>
      <c r="F196" s="76">
        <v>10</v>
      </c>
      <c r="G196" s="68"/>
      <c r="H196" s="68">
        <f t="shared" si="18"/>
        <v>0</v>
      </c>
      <c r="I196" s="73">
        <f t="shared" si="19"/>
        <v>100</v>
      </c>
      <c r="J196" s="58"/>
      <c r="L196" s="29"/>
    </row>
    <row r="197" spans="1:12" ht="20.25" customHeight="1">
      <c r="A197" s="27"/>
      <c r="B197" s="75" t="s">
        <v>375</v>
      </c>
      <c r="C197" s="63" t="s">
        <v>46</v>
      </c>
      <c r="D197" s="76">
        <v>9.98</v>
      </c>
      <c r="E197" s="76"/>
      <c r="F197" s="76">
        <v>9.98</v>
      </c>
      <c r="G197" s="68"/>
      <c r="H197" s="69">
        <f t="shared" si="18"/>
        <v>0</v>
      </c>
      <c r="I197" s="70">
        <f t="shared" si="19"/>
        <v>100</v>
      </c>
      <c r="J197" s="58"/>
      <c r="L197" s="29"/>
    </row>
    <row r="198" spans="1:12" ht="31.5">
      <c r="A198" s="27"/>
      <c r="B198" s="75" t="s">
        <v>376</v>
      </c>
      <c r="C198" s="63" t="s">
        <v>92</v>
      </c>
      <c r="D198" s="76">
        <v>7.04</v>
      </c>
      <c r="E198" s="76"/>
      <c r="F198" s="76">
        <v>7.04</v>
      </c>
      <c r="G198" s="68"/>
      <c r="H198" s="69">
        <f t="shared" si="18"/>
        <v>0</v>
      </c>
      <c r="I198" s="70">
        <f t="shared" si="19"/>
        <v>100</v>
      </c>
      <c r="J198" s="58"/>
      <c r="L198" s="29"/>
    </row>
    <row r="199" spans="1:12" ht="60" customHeight="1">
      <c r="A199" s="27"/>
      <c r="B199" s="66" t="s">
        <v>377</v>
      </c>
      <c r="C199" s="18" t="s">
        <v>286</v>
      </c>
      <c r="D199" s="67">
        <v>13.34</v>
      </c>
      <c r="E199" s="67"/>
      <c r="F199" s="67">
        <v>13.34</v>
      </c>
      <c r="G199" s="68"/>
      <c r="H199" s="69">
        <f t="shared" si="18"/>
        <v>0</v>
      </c>
      <c r="I199" s="70">
        <f t="shared" si="19"/>
        <v>100</v>
      </c>
      <c r="J199" s="58"/>
      <c r="L199" s="29"/>
    </row>
    <row r="200" spans="1:12" ht="60" customHeight="1">
      <c r="A200" s="27"/>
      <c r="B200" s="66" t="s">
        <v>434</v>
      </c>
      <c r="C200" s="18" t="s">
        <v>232</v>
      </c>
      <c r="D200" s="67">
        <v>198</v>
      </c>
      <c r="E200" s="67"/>
      <c r="F200" s="67">
        <v>0</v>
      </c>
      <c r="G200" s="68"/>
      <c r="H200" s="69">
        <f t="shared" si="18"/>
        <v>-198</v>
      </c>
      <c r="I200" s="70">
        <f t="shared" si="19"/>
        <v>0</v>
      </c>
      <c r="J200" s="58"/>
      <c r="L200" s="29"/>
    </row>
    <row r="201" spans="1:12" ht="31.5">
      <c r="A201" s="27"/>
      <c r="B201" s="66" t="s">
        <v>434</v>
      </c>
      <c r="C201" s="18" t="s">
        <v>108</v>
      </c>
      <c r="D201" s="67">
        <v>5.389</v>
      </c>
      <c r="E201" s="67"/>
      <c r="F201" s="67">
        <v>0</v>
      </c>
      <c r="G201" s="68"/>
      <c r="H201" s="69">
        <f t="shared" si="18"/>
        <v>-5.389</v>
      </c>
      <c r="I201" s="70">
        <f t="shared" si="19"/>
        <v>0</v>
      </c>
      <c r="J201" s="58"/>
      <c r="L201" s="29"/>
    </row>
    <row r="202" spans="1:12" ht="15.75">
      <c r="A202" s="27"/>
      <c r="B202" s="75" t="s">
        <v>83</v>
      </c>
      <c r="C202" s="74" t="s">
        <v>283</v>
      </c>
      <c r="D202" s="76">
        <f>D203+D205+D204</f>
        <v>280.27774</v>
      </c>
      <c r="E202" s="76">
        <f>E203+E205+E204</f>
        <v>0</v>
      </c>
      <c r="F202" s="76">
        <f>F203+F205+F204</f>
        <v>205.27755000000002</v>
      </c>
      <c r="G202" s="68"/>
      <c r="H202" s="69">
        <f t="shared" si="18"/>
        <v>-75.00018999999998</v>
      </c>
      <c r="I202" s="70">
        <f t="shared" si="19"/>
        <v>73.2407611107468</v>
      </c>
      <c r="J202" s="58"/>
      <c r="L202" s="29"/>
    </row>
    <row r="203" spans="1:12" ht="47.25">
      <c r="A203" s="27"/>
      <c r="B203" s="75" t="s">
        <v>365</v>
      </c>
      <c r="C203" s="74" t="s">
        <v>87</v>
      </c>
      <c r="D203" s="76">
        <v>133.32149</v>
      </c>
      <c r="E203" s="76"/>
      <c r="F203" s="76">
        <v>63.32149</v>
      </c>
      <c r="G203" s="68"/>
      <c r="H203" s="69">
        <f t="shared" si="18"/>
        <v>-70.00000000000001</v>
      </c>
      <c r="I203" s="70">
        <f t="shared" si="19"/>
        <v>47.49533627324446</v>
      </c>
      <c r="J203" s="58"/>
      <c r="L203" s="29"/>
    </row>
    <row r="204" spans="1:12" ht="61.5" customHeight="1">
      <c r="A204" s="27"/>
      <c r="B204" s="75" t="s">
        <v>312</v>
      </c>
      <c r="C204" s="18" t="s">
        <v>66</v>
      </c>
      <c r="D204" s="76">
        <v>10.7174</v>
      </c>
      <c r="E204" s="76"/>
      <c r="F204" s="76">
        <v>0</v>
      </c>
      <c r="G204" s="68"/>
      <c r="H204" s="68">
        <f t="shared" si="18"/>
        <v>-10.7174</v>
      </c>
      <c r="I204" s="73">
        <f t="shared" si="19"/>
        <v>0</v>
      </c>
      <c r="J204" s="58"/>
      <c r="L204" s="29"/>
    </row>
    <row r="205" spans="1:12" ht="78.75">
      <c r="A205" s="27"/>
      <c r="B205" s="75" t="s">
        <v>312</v>
      </c>
      <c r="C205" s="63" t="s">
        <v>82</v>
      </c>
      <c r="D205" s="76">
        <v>136.23885</v>
      </c>
      <c r="E205" s="76"/>
      <c r="F205" s="76">
        <v>141.95606</v>
      </c>
      <c r="G205" s="68"/>
      <c r="H205" s="68">
        <f t="shared" si="18"/>
        <v>5.717209999999994</v>
      </c>
      <c r="I205" s="73">
        <f t="shared" si="19"/>
        <v>104.19646084798866</v>
      </c>
      <c r="J205" s="58"/>
      <c r="L205" s="29"/>
    </row>
    <row r="206" spans="1:12" ht="15.75">
      <c r="A206" s="27"/>
      <c r="B206" s="64" t="s">
        <v>317</v>
      </c>
      <c r="C206" s="74" t="s">
        <v>287</v>
      </c>
      <c r="D206" s="71">
        <f>D207+D208+D209+D211+D212+D213+D214+D215+D216+D217+D219+D220+D210+D218</f>
        <v>12904.34317</v>
      </c>
      <c r="E206" s="71">
        <f>E207+E208+E209+E211+E212+E213+E214+E215+E216+E217+E219+E220+E210+E218</f>
        <v>0</v>
      </c>
      <c r="F206" s="71">
        <f>F207+F208+F209+F211+F212+F213+F214+F215+F216+F217+F219+F220+F210+F218</f>
        <v>4091.8360099999995</v>
      </c>
      <c r="G206" s="71">
        <f>G207+G208+G209+G211+G212+G213+G214+G215+G216+G217+G219+G220+G210</f>
        <v>0</v>
      </c>
      <c r="H206" s="68">
        <f t="shared" si="18"/>
        <v>-8812.507160000001</v>
      </c>
      <c r="I206" s="73">
        <f t="shared" si="19"/>
        <v>31.70898321669478</v>
      </c>
      <c r="J206" s="58"/>
      <c r="L206" s="29"/>
    </row>
    <row r="207" spans="1:12" ht="63">
      <c r="A207" s="27"/>
      <c r="B207" s="48" t="s">
        <v>319</v>
      </c>
      <c r="C207" s="7" t="s">
        <v>50</v>
      </c>
      <c r="D207" s="61">
        <v>1966.775</v>
      </c>
      <c r="E207" s="13"/>
      <c r="F207" s="4">
        <v>1712.76312</v>
      </c>
      <c r="G207" s="5"/>
      <c r="H207" s="69">
        <f t="shared" si="18"/>
        <v>-254.01188000000002</v>
      </c>
      <c r="I207" s="70">
        <f t="shared" si="19"/>
        <v>87.08485312249749</v>
      </c>
      <c r="J207" s="58"/>
      <c r="L207" s="29"/>
    </row>
    <row r="208" spans="1:12" ht="69" customHeight="1">
      <c r="A208" s="27"/>
      <c r="B208" s="64" t="s">
        <v>319</v>
      </c>
      <c r="C208" s="7" t="s">
        <v>49</v>
      </c>
      <c r="D208" s="71">
        <v>12.57387</v>
      </c>
      <c r="E208" s="13"/>
      <c r="F208" s="5">
        <v>12.57387</v>
      </c>
      <c r="G208" s="5"/>
      <c r="H208" s="68">
        <f t="shared" si="18"/>
        <v>0</v>
      </c>
      <c r="I208" s="73">
        <f t="shared" si="19"/>
        <v>100</v>
      </c>
      <c r="J208" s="58"/>
      <c r="L208" s="29"/>
    </row>
    <row r="209" spans="1:12" ht="78.75">
      <c r="A209" s="27"/>
      <c r="B209" s="64" t="s">
        <v>319</v>
      </c>
      <c r="C209" s="63" t="s">
        <v>82</v>
      </c>
      <c r="D209" s="71">
        <v>467.65572</v>
      </c>
      <c r="E209" s="13"/>
      <c r="F209" s="5">
        <v>467.65572</v>
      </c>
      <c r="G209" s="5"/>
      <c r="H209" s="68">
        <f t="shared" si="18"/>
        <v>0</v>
      </c>
      <c r="I209" s="73">
        <f t="shared" si="19"/>
        <v>100</v>
      </c>
      <c r="J209" s="58"/>
      <c r="L209" s="29"/>
    </row>
    <row r="210" spans="1:12" ht="47.25">
      <c r="A210" s="27"/>
      <c r="B210" s="64" t="s">
        <v>319</v>
      </c>
      <c r="C210" s="63" t="s">
        <v>233</v>
      </c>
      <c r="D210" s="71">
        <v>97</v>
      </c>
      <c r="E210" s="13"/>
      <c r="F210" s="5">
        <v>0</v>
      </c>
      <c r="G210" s="5"/>
      <c r="H210" s="68">
        <f t="shared" si="18"/>
        <v>-97</v>
      </c>
      <c r="I210" s="73">
        <f t="shared" si="19"/>
        <v>0</v>
      </c>
      <c r="J210" s="58"/>
      <c r="L210" s="29"/>
    </row>
    <row r="211" spans="1:12" ht="47.25">
      <c r="A211" s="27"/>
      <c r="B211" s="64" t="s">
        <v>40</v>
      </c>
      <c r="C211" s="55" t="s">
        <v>75</v>
      </c>
      <c r="D211" s="71">
        <v>420.69884</v>
      </c>
      <c r="E211" s="13"/>
      <c r="F211" s="5">
        <v>106.9952</v>
      </c>
      <c r="G211" s="5"/>
      <c r="H211" s="68">
        <f t="shared" si="18"/>
        <v>-313.70364</v>
      </c>
      <c r="I211" s="73">
        <f t="shared" si="19"/>
        <v>25.43272997852811</v>
      </c>
      <c r="J211" s="58"/>
      <c r="L211" s="29"/>
    </row>
    <row r="212" spans="1:12" ht="47.25">
      <c r="A212" s="27"/>
      <c r="B212" s="64" t="s">
        <v>40</v>
      </c>
      <c r="C212" s="55" t="s">
        <v>91</v>
      </c>
      <c r="D212" s="71">
        <v>230</v>
      </c>
      <c r="E212" s="13"/>
      <c r="F212" s="5">
        <v>285.31918</v>
      </c>
      <c r="G212" s="5"/>
      <c r="H212" s="68">
        <f t="shared" si="18"/>
        <v>55.31918000000002</v>
      </c>
      <c r="I212" s="73">
        <f t="shared" si="19"/>
        <v>124.05181739130435</v>
      </c>
      <c r="J212" s="58"/>
      <c r="L212" s="29"/>
    </row>
    <row r="213" spans="1:12" ht="78.75">
      <c r="A213" s="27"/>
      <c r="B213" s="64" t="s">
        <v>40</v>
      </c>
      <c r="C213" s="63" t="s">
        <v>82</v>
      </c>
      <c r="D213" s="71">
        <v>424.19606</v>
      </c>
      <c r="E213" s="13"/>
      <c r="F213" s="5">
        <v>424.19606</v>
      </c>
      <c r="G213" s="5"/>
      <c r="H213" s="68">
        <f t="shared" si="18"/>
        <v>0</v>
      </c>
      <c r="I213" s="73">
        <f t="shared" si="19"/>
        <v>100</v>
      </c>
      <c r="J213" s="58"/>
      <c r="L213" s="29"/>
    </row>
    <row r="214" spans="1:12" ht="70.5" customHeight="1">
      <c r="A214" s="27"/>
      <c r="B214" s="48" t="s">
        <v>15</v>
      </c>
      <c r="C214" s="55" t="s">
        <v>51</v>
      </c>
      <c r="D214" s="12">
        <v>869.86</v>
      </c>
      <c r="E214" s="13"/>
      <c r="F214" s="4">
        <v>280.3824</v>
      </c>
      <c r="G214" s="5"/>
      <c r="H214" s="69">
        <f t="shared" si="18"/>
        <v>-589.4775999999999</v>
      </c>
      <c r="I214" s="70">
        <f t="shared" si="19"/>
        <v>32.233048996390224</v>
      </c>
      <c r="J214" s="58"/>
      <c r="L214" s="29"/>
    </row>
    <row r="215" spans="1:12" ht="47.25" customHeight="1" hidden="1">
      <c r="A215" s="27"/>
      <c r="B215" s="48" t="s">
        <v>15</v>
      </c>
      <c r="C215" s="55" t="s">
        <v>88</v>
      </c>
      <c r="D215" s="12">
        <v>0</v>
      </c>
      <c r="E215" s="13"/>
      <c r="F215" s="4"/>
      <c r="G215" s="5"/>
      <c r="H215" s="69">
        <f t="shared" si="18"/>
        <v>0</v>
      </c>
      <c r="I215" s="70" t="e">
        <f t="shared" si="19"/>
        <v>#DIV/0!</v>
      </c>
      <c r="J215" s="58"/>
      <c r="L215" s="29"/>
    </row>
    <row r="216" spans="1:12" ht="47.25">
      <c r="A216" s="27"/>
      <c r="B216" s="48" t="s">
        <v>321</v>
      </c>
      <c r="C216" s="7" t="s">
        <v>52</v>
      </c>
      <c r="D216" s="12">
        <v>269.855</v>
      </c>
      <c r="E216" s="13"/>
      <c r="F216" s="4">
        <v>93.77281</v>
      </c>
      <c r="G216" s="5"/>
      <c r="H216" s="69">
        <f t="shared" si="18"/>
        <v>-176.08219000000003</v>
      </c>
      <c r="I216" s="70">
        <f t="shared" si="19"/>
        <v>34.749332048692814</v>
      </c>
      <c r="J216" s="58"/>
      <c r="L216" s="29"/>
    </row>
    <row r="217" spans="1:12" ht="78.75">
      <c r="A217" s="27"/>
      <c r="B217" s="64" t="s">
        <v>321</v>
      </c>
      <c r="C217" s="63" t="s">
        <v>82</v>
      </c>
      <c r="D217" s="71">
        <f>129.00614+197.81</f>
        <v>326.81614</v>
      </c>
      <c r="E217" s="13"/>
      <c r="F217" s="5">
        <v>206.51414</v>
      </c>
      <c r="G217" s="5"/>
      <c r="H217" s="68">
        <f t="shared" si="18"/>
        <v>-120.30200000000002</v>
      </c>
      <c r="I217" s="73">
        <f t="shared" si="19"/>
        <v>63.18970048419273</v>
      </c>
      <c r="J217" s="58"/>
      <c r="L217" s="29"/>
    </row>
    <row r="218" spans="1:12" ht="47.25">
      <c r="A218" s="27"/>
      <c r="B218" s="64" t="s">
        <v>321</v>
      </c>
      <c r="C218" s="63" t="s">
        <v>136</v>
      </c>
      <c r="D218" s="71">
        <v>247.35</v>
      </c>
      <c r="E218" s="13"/>
      <c r="F218" s="5">
        <v>0</v>
      </c>
      <c r="G218" s="5"/>
      <c r="H218" s="68">
        <f t="shared" si="18"/>
        <v>-247.35</v>
      </c>
      <c r="I218" s="73">
        <f t="shared" si="19"/>
        <v>0</v>
      </c>
      <c r="J218" s="58"/>
      <c r="L218" s="29"/>
    </row>
    <row r="219" spans="1:12" ht="78.75">
      <c r="A219" s="27"/>
      <c r="B219" s="64" t="s">
        <v>23</v>
      </c>
      <c r="C219" s="55" t="s">
        <v>84</v>
      </c>
      <c r="D219" s="71">
        <v>50.56254</v>
      </c>
      <c r="E219" s="13"/>
      <c r="F219" s="5">
        <v>50.56254</v>
      </c>
      <c r="G219" s="5"/>
      <c r="H219" s="68">
        <f t="shared" si="18"/>
        <v>0</v>
      </c>
      <c r="I219" s="73">
        <f t="shared" si="19"/>
        <v>100</v>
      </c>
      <c r="J219" s="58"/>
      <c r="L219" s="29"/>
    </row>
    <row r="220" spans="1:12" ht="63">
      <c r="A220" s="27"/>
      <c r="B220" s="64" t="s">
        <v>93</v>
      </c>
      <c r="C220" s="55" t="s">
        <v>94</v>
      </c>
      <c r="D220" s="71">
        <v>7521</v>
      </c>
      <c r="E220" s="13"/>
      <c r="F220" s="5">
        <v>451.10097</v>
      </c>
      <c r="G220" s="5"/>
      <c r="H220" s="68">
        <f aca="true" t="shared" si="20" ref="H220:H251">F220-D220</f>
        <v>-7069.89903</v>
      </c>
      <c r="I220" s="73">
        <f aca="true" t="shared" si="21" ref="I220:I251">F220/D220*100</f>
        <v>5.997885520542481</v>
      </c>
      <c r="J220" s="58"/>
      <c r="L220" s="29"/>
    </row>
    <row r="221" spans="1:12" ht="31.5" customHeight="1">
      <c r="A221" s="22" t="s">
        <v>328</v>
      </c>
      <c r="B221" s="72" t="s">
        <v>335</v>
      </c>
      <c r="C221" s="63" t="s">
        <v>242</v>
      </c>
      <c r="D221" s="71">
        <f>D222+D223+D226+D225+D224</f>
        <v>300.269</v>
      </c>
      <c r="E221" s="71">
        <f>E222+E223+E226+E225+E224</f>
        <v>0</v>
      </c>
      <c r="F221" s="71">
        <f>F222+F223+F226+F225+F224</f>
        <v>115.569</v>
      </c>
      <c r="G221" s="5" t="e">
        <f>F221-#REF!</f>
        <v>#REF!</v>
      </c>
      <c r="H221" s="68">
        <f t="shared" si="20"/>
        <v>-184.7</v>
      </c>
      <c r="I221" s="73">
        <f t="shared" si="21"/>
        <v>38.48848865517253</v>
      </c>
      <c r="J221" s="58"/>
      <c r="L221" s="29"/>
    </row>
    <row r="222" spans="1:12" ht="20.25" customHeight="1">
      <c r="A222" s="17" t="s">
        <v>343</v>
      </c>
      <c r="B222" s="48" t="s">
        <v>444</v>
      </c>
      <c r="C222" s="24" t="s">
        <v>243</v>
      </c>
      <c r="D222" s="12">
        <v>34.7</v>
      </c>
      <c r="E222" s="13"/>
      <c r="F222" s="4">
        <v>14.7</v>
      </c>
      <c r="G222" s="5"/>
      <c r="H222" s="69">
        <f t="shared" si="20"/>
        <v>-20.000000000000004</v>
      </c>
      <c r="I222" s="70">
        <f t="shared" si="21"/>
        <v>42.36311239193083</v>
      </c>
      <c r="J222" s="58"/>
      <c r="L222" s="29"/>
    </row>
    <row r="223" spans="1:12" ht="17.25" customHeight="1">
      <c r="A223" s="17" t="s">
        <v>359</v>
      </c>
      <c r="B223" s="48" t="s">
        <v>445</v>
      </c>
      <c r="C223" s="24" t="s">
        <v>244</v>
      </c>
      <c r="D223" s="12">
        <v>11.369</v>
      </c>
      <c r="E223" s="13"/>
      <c r="F223" s="4">
        <v>6.369</v>
      </c>
      <c r="G223" s="5"/>
      <c r="H223" s="69">
        <f t="shared" si="20"/>
        <v>-5</v>
      </c>
      <c r="I223" s="70">
        <f t="shared" si="21"/>
        <v>56.0207582021286</v>
      </c>
      <c r="J223" s="58"/>
      <c r="L223" s="29"/>
    </row>
    <row r="224" spans="1:12" ht="36" customHeight="1">
      <c r="A224" s="17"/>
      <c r="B224" s="48" t="s">
        <v>446</v>
      </c>
      <c r="C224" s="24" t="s">
        <v>205</v>
      </c>
      <c r="D224" s="12">
        <v>239.2</v>
      </c>
      <c r="E224" s="13"/>
      <c r="F224" s="4">
        <v>85.854</v>
      </c>
      <c r="G224" s="5"/>
      <c r="H224" s="69">
        <f t="shared" si="20"/>
        <v>-153.346</v>
      </c>
      <c r="I224" s="70">
        <f t="shared" si="21"/>
        <v>35.892140468227424</v>
      </c>
      <c r="J224" s="58"/>
      <c r="L224" s="29"/>
    </row>
    <row r="225" spans="1:12" ht="56.25" customHeight="1">
      <c r="A225" s="17"/>
      <c r="B225" s="48" t="s">
        <v>424</v>
      </c>
      <c r="C225" s="24" t="s">
        <v>245</v>
      </c>
      <c r="D225" s="12">
        <v>5</v>
      </c>
      <c r="E225" s="13"/>
      <c r="F225" s="4">
        <v>5</v>
      </c>
      <c r="G225" s="5"/>
      <c r="H225" s="69">
        <f t="shared" si="20"/>
        <v>0</v>
      </c>
      <c r="I225" s="70">
        <f t="shared" si="21"/>
        <v>100</v>
      </c>
      <c r="J225" s="58"/>
      <c r="L225" s="29"/>
    </row>
    <row r="226" spans="1:12" ht="31.5" customHeight="1">
      <c r="A226" s="17" t="s">
        <v>359</v>
      </c>
      <c r="B226" s="48" t="s">
        <v>424</v>
      </c>
      <c r="C226" s="24" t="s">
        <v>246</v>
      </c>
      <c r="D226" s="12">
        <v>10</v>
      </c>
      <c r="E226" s="13"/>
      <c r="F226" s="4">
        <v>3.646</v>
      </c>
      <c r="G226" s="5"/>
      <c r="H226" s="69">
        <f t="shared" si="20"/>
        <v>-6.354</v>
      </c>
      <c r="I226" s="70">
        <f t="shared" si="21"/>
        <v>36.46</v>
      </c>
      <c r="J226" s="58"/>
      <c r="L226" s="29"/>
    </row>
    <row r="227" spans="1:12" ht="15.75">
      <c r="A227" s="17"/>
      <c r="B227" s="64" t="s">
        <v>324</v>
      </c>
      <c r="C227" s="55" t="s">
        <v>247</v>
      </c>
      <c r="D227" s="71">
        <f>D228+D229</f>
        <v>98.343</v>
      </c>
      <c r="E227" s="71">
        <f>E228+E229</f>
        <v>0</v>
      </c>
      <c r="F227" s="71">
        <f>F228+F229</f>
        <v>77.11684</v>
      </c>
      <c r="G227" s="71">
        <f>G228+G229</f>
        <v>0</v>
      </c>
      <c r="H227" s="68">
        <f t="shared" si="20"/>
        <v>-21.226160000000007</v>
      </c>
      <c r="I227" s="73">
        <f t="shared" si="21"/>
        <v>78.41619637391578</v>
      </c>
      <c r="J227" s="58"/>
      <c r="L227" s="29"/>
    </row>
    <row r="228" spans="1:12" ht="47.25">
      <c r="A228" s="17"/>
      <c r="B228" s="64" t="s">
        <v>325</v>
      </c>
      <c r="C228" s="87" t="s">
        <v>248</v>
      </c>
      <c r="D228" s="71">
        <v>5.625</v>
      </c>
      <c r="E228" s="13"/>
      <c r="F228" s="5">
        <v>0</v>
      </c>
      <c r="G228" s="5"/>
      <c r="H228" s="68">
        <f t="shared" si="20"/>
        <v>-5.625</v>
      </c>
      <c r="I228" s="73">
        <f t="shared" si="21"/>
        <v>0</v>
      </c>
      <c r="J228" s="58"/>
      <c r="L228" s="29"/>
    </row>
    <row r="229" spans="1:12" ht="81.75" customHeight="1">
      <c r="A229" s="17"/>
      <c r="B229" s="64" t="s">
        <v>325</v>
      </c>
      <c r="C229" s="63" t="s">
        <v>82</v>
      </c>
      <c r="D229" s="71">
        <v>92.718</v>
      </c>
      <c r="E229" s="13"/>
      <c r="F229" s="5">
        <v>77.11684</v>
      </c>
      <c r="G229" s="5"/>
      <c r="H229" s="68">
        <f t="shared" si="20"/>
        <v>-15.601160000000007</v>
      </c>
      <c r="I229" s="73">
        <f t="shared" si="21"/>
        <v>83.17353696153928</v>
      </c>
      <c r="J229" s="58"/>
      <c r="L229" s="29"/>
    </row>
    <row r="230" spans="1:12" ht="15.75">
      <c r="A230" s="17"/>
      <c r="B230" s="64" t="s">
        <v>180</v>
      </c>
      <c r="C230" s="55" t="s">
        <v>249</v>
      </c>
      <c r="D230" s="6">
        <f>D231+D232+D235+D233+D234</f>
        <v>6061.86986</v>
      </c>
      <c r="E230" s="6">
        <f>E231+E232+E235+E233+E234</f>
        <v>0</v>
      </c>
      <c r="F230" s="6">
        <f>F231+F232+F235+F233+F234</f>
        <v>2196.59569</v>
      </c>
      <c r="G230" s="5">
        <f>F230-L222</f>
        <v>2196.59569</v>
      </c>
      <c r="H230" s="68">
        <f t="shared" si="20"/>
        <v>-3865.2741699999997</v>
      </c>
      <c r="I230" s="73">
        <f t="shared" si="21"/>
        <v>36.236272647397286</v>
      </c>
      <c r="J230" s="58"/>
      <c r="L230" s="29"/>
    </row>
    <row r="231" spans="1:12" ht="57.75" customHeight="1">
      <c r="A231" s="17"/>
      <c r="B231" s="64" t="s">
        <v>421</v>
      </c>
      <c r="C231" s="55" t="s">
        <v>53</v>
      </c>
      <c r="D231" s="6">
        <f>454.714+1121.37986</f>
        <v>1576.09386</v>
      </c>
      <c r="E231" s="6"/>
      <c r="F231" s="5">
        <f>550.38315+148.214</f>
        <v>698.59715</v>
      </c>
      <c r="G231" s="5"/>
      <c r="H231" s="68">
        <f t="shared" si="20"/>
        <v>-877.4967099999999</v>
      </c>
      <c r="I231" s="73">
        <f t="shared" si="21"/>
        <v>44.324590541834866</v>
      </c>
      <c r="J231" s="58"/>
      <c r="L231" s="29"/>
    </row>
    <row r="232" spans="1:12" ht="53.25" customHeight="1">
      <c r="A232" s="17"/>
      <c r="B232" s="64" t="s">
        <v>421</v>
      </c>
      <c r="C232" s="55" t="s">
        <v>54</v>
      </c>
      <c r="D232" s="6">
        <f>320+100.85</f>
        <v>420.85</v>
      </c>
      <c r="E232" s="6"/>
      <c r="F232" s="5">
        <f>319.669+99.28954</f>
        <v>418.95853999999997</v>
      </c>
      <c r="G232" s="5"/>
      <c r="H232" s="68">
        <f t="shared" si="20"/>
        <v>-1.8914600000000519</v>
      </c>
      <c r="I232" s="73">
        <f t="shared" si="21"/>
        <v>99.55056195794225</v>
      </c>
      <c r="J232" s="58"/>
      <c r="L232" s="29"/>
    </row>
    <row r="233" spans="1:12" ht="84.75" customHeight="1">
      <c r="A233" s="17"/>
      <c r="B233" s="64" t="s">
        <v>421</v>
      </c>
      <c r="C233" s="63" t="s">
        <v>82</v>
      </c>
      <c r="D233" s="6">
        <v>4000.3</v>
      </c>
      <c r="E233" s="6"/>
      <c r="F233" s="5">
        <v>1079.04</v>
      </c>
      <c r="G233" s="5"/>
      <c r="H233" s="68">
        <f t="shared" si="20"/>
        <v>-2921.26</v>
      </c>
      <c r="I233" s="73">
        <f t="shared" si="21"/>
        <v>26.973976951728616</v>
      </c>
      <c r="J233" s="58"/>
      <c r="L233" s="29"/>
    </row>
    <row r="234" spans="1:12" ht="47.25">
      <c r="A234" s="17"/>
      <c r="B234" s="64" t="s">
        <v>421</v>
      </c>
      <c r="C234" s="63" t="s">
        <v>136</v>
      </c>
      <c r="D234" s="6">
        <v>64</v>
      </c>
      <c r="E234" s="6"/>
      <c r="F234" s="5">
        <v>0</v>
      </c>
      <c r="G234" s="5"/>
      <c r="H234" s="68">
        <f t="shared" si="20"/>
        <v>-64</v>
      </c>
      <c r="I234" s="73">
        <f t="shared" si="21"/>
        <v>0</v>
      </c>
      <c r="J234" s="58"/>
      <c r="L234" s="29"/>
    </row>
    <row r="235" spans="1:12" ht="60" customHeight="1">
      <c r="A235" s="17"/>
      <c r="B235" s="64" t="s">
        <v>206</v>
      </c>
      <c r="C235" s="55" t="s">
        <v>53</v>
      </c>
      <c r="D235" s="6">
        <v>0.626</v>
      </c>
      <c r="E235" s="6"/>
      <c r="F235" s="5">
        <v>0</v>
      </c>
      <c r="G235" s="5"/>
      <c r="H235" s="68">
        <f t="shared" si="20"/>
        <v>-0.626</v>
      </c>
      <c r="I235" s="73">
        <f t="shared" si="21"/>
        <v>0</v>
      </c>
      <c r="J235" s="58"/>
      <c r="L235" s="29"/>
    </row>
    <row r="236" spans="1:12" ht="47.25">
      <c r="A236" s="17"/>
      <c r="B236" s="64" t="s">
        <v>334</v>
      </c>
      <c r="C236" s="55" t="s">
        <v>55</v>
      </c>
      <c r="D236" s="6">
        <f>D237+D238+D239</f>
        <v>2578.0857</v>
      </c>
      <c r="E236" s="6">
        <f>E237+E238+E239</f>
        <v>106</v>
      </c>
      <c r="F236" s="6">
        <f>F237+F238+F239</f>
        <v>991.62148</v>
      </c>
      <c r="G236" s="5"/>
      <c r="H236" s="68">
        <f t="shared" si="20"/>
        <v>-1586.46422</v>
      </c>
      <c r="I236" s="73">
        <f t="shared" si="21"/>
        <v>38.46348009300078</v>
      </c>
      <c r="J236" s="58"/>
      <c r="L236" s="29"/>
    </row>
    <row r="237" spans="1:12" ht="54.75" customHeight="1">
      <c r="A237" s="17"/>
      <c r="B237" s="64" t="s">
        <v>334</v>
      </c>
      <c r="C237" s="55" t="s">
        <v>405</v>
      </c>
      <c r="D237" s="6">
        <v>1676.428</v>
      </c>
      <c r="E237" s="6"/>
      <c r="F237" s="5">
        <v>647.58166</v>
      </c>
      <c r="G237" s="5"/>
      <c r="H237" s="68">
        <f t="shared" si="20"/>
        <v>-1028.84634</v>
      </c>
      <c r="I237" s="73">
        <f t="shared" si="21"/>
        <v>38.62865926839685</v>
      </c>
      <c r="J237" s="58"/>
      <c r="L237" s="29"/>
    </row>
    <row r="238" spans="1:12" ht="47.25">
      <c r="A238" s="17"/>
      <c r="B238" s="64" t="s">
        <v>334</v>
      </c>
      <c r="C238" s="55" t="s">
        <v>406</v>
      </c>
      <c r="D238" s="6">
        <v>693.454</v>
      </c>
      <c r="E238" s="6"/>
      <c r="F238" s="5">
        <v>262.6521</v>
      </c>
      <c r="G238" s="5"/>
      <c r="H238" s="68">
        <f t="shared" si="20"/>
        <v>-430.80189999999993</v>
      </c>
      <c r="I238" s="73">
        <f t="shared" si="21"/>
        <v>37.87592255578597</v>
      </c>
      <c r="J238" s="58"/>
      <c r="L238" s="29"/>
    </row>
    <row r="239" spans="1:12" ht="71.25" customHeight="1">
      <c r="A239" s="17"/>
      <c r="B239" s="64" t="s">
        <v>334</v>
      </c>
      <c r="C239" s="55" t="s">
        <v>36</v>
      </c>
      <c r="D239" s="6">
        <v>208.2037</v>
      </c>
      <c r="E239" s="6">
        <v>106</v>
      </c>
      <c r="F239" s="5">
        <v>81.38772</v>
      </c>
      <c r="G239" s="5" t="e">
        <f>F239-#REF!</f>
        <v>#REF!</v>
      </c>
      <c r="H239" s="68">
        <f t="shared" si="20"/>
        <v>-126.81598</v>
      </c>
      <c r="I239" s="73">
        <f t="shared" si="21"/>
        <v>39.090429228683256</v>
      </c>
      <c r="J239" s="58"/>
      <c r="L239" s="29"/>
    </row>
    <row r="240" spans="1:12" ht="31.5">
      <c r="A240" s="17"/>
      <c r="B240" s="64" t="s">
        <v>43</v>
      </c>
      <c r="C240" s="63" t="s">
        <v>197</v>
      </c>
      <c r="D240" s="6">
        <f>D241+D242+D243</f>
        <v>577.13947</v>
      </c>
      <c r="E240" s="6">
        <f>E241+E242+E243</f>
        <v>0</v>
      </c>
      <c r="F240" s="6">
        <f>F241+F242+F243</f>
        <v>498.24347</v>
      </c>
      <c r="G240" s="5"/>
      <c r="H240" s="68">
        <f t="shared" si="20"/>
        <v>-78.89599999999996</v>
      </c>
      <c r="I240" s="73">
        <f t="shared" si="21"/>
        <v>86.32982076238869</v>
      </c>
      <c r="J240" s="58"/>
      <c r="L240" s="29"/>
    </row>
    <row r="241" spans="1:12" ht="88.5" customHeight="1">
      <c r="A241" s="17"/>
      <c r="B241" s="48" t="s">
        <v>435</v>
      </c>
      <c r="C241" s="7" t="s">
        <v>67</v>
      </c>
      <c r="D241" s="1">
        <v>203.47</v>
      </c>
      <c r="E241" s="6"/>
      <c r="F241" s="4">
        <v>129.47</v>
      </c>
      <c r="G241" s="5"/>
      <c r="H241" s="69">
        <f t="shared" si="20"/>
        <v>-74</v>
      </c>
      <c r="I241" s="70">
        <f t="shared" si="21"/>
        <v>63.63100211333366</v>
      </c>
      <c r="J241" s="58"/>
      <c r="L241" s="29"/>
    </row>
    <row r="242" spans="1:12" ht="47.25" hidden="1">
      <c r="A242" s="17"/>
      <c r="B242" s="48" t="s">
        <v>435</v>
      </c>
      <c r="C242" s="63" t="s">
        <v>69</v>
      </c>
      <c r="D242" s="1">
        <v>0</v>
      </c>
      <c r="E242" s="6"/>
      <c r="F242" s="4"/>
      <c r="G242" s="5"/>
      <c r="H242" s="69">
        <f t="shared" si="20"/>
        <v>0</v>
      </c>
      <c r="I242" s="70" t="e">
        <f t="shared" si="21"/>
        <v>#DIV/0!</v>
      </c>
      <c r="J242" s="58"/>
      <c r="L242" s="29"/>
    </row>
    <row r="243" spans="1:12" ht="47.25">
      <c r="A243" s="17"/>
      <c r="B243" s="48" t="s">
        <v>435</v>
      </c>
      <c r="C243" s="65" t="s">
        <v>73</v>
      </c>
      <c r="D243" s="1">
        <f>320.66947+53</f>
        <v>373.66947</v>
      </c>
      <c r="E243" s="6"/>
      <c r="F243" s="4">
        <v>368.77347</v>
      </c>
      <c r="G243" s="5"/>
      <c r="H243" s="69">
        <f t="shared" si="20"/>
        <v>-4.896000000000015</v>
      </c>
      <c r="I243" s="70">
        <f t="shared" si="21"/>
        <v>98.68975113219712</v>
      </c>
      <c r="J243" s="58"/>
      <c r="L243" s="29"/>
    </row>
    <row r="244" spans="1:12" ht="31.5">
      <c r="A244" s="17"/>
      <c r="B244" s="72" t="s">
        <v>465</v>
      </c>
      <c r="C244" s="55" t="s">
        <v>250</v>
      </c>
      <c r="D244" s="6">
        <f>D245+D246</f>
        <v>24.3</v>
      </c>
      <c r="E244" s="6">
        <f>E245+E246</f>
        <v>0</v>
      </c>
      <c r="F244" s="6">
        <f>F245+F246</f>
        <v>0</v>
      </c>
      <c r="G244" s="5"/>
      <c r="H244" s="68">
        <f t="shared" si="20"/>
        <v>-24.3</v>
      </c>
      <c r="I244" s="73">
        <f t="shared" si="21"/>
        <v>0</v>
      </c>
      <c r="J244" s="58"/>
      <c r="L244" s="29"/>
    </row>
    <row r="245" spans="1:12" ht="69" customHeight="1">
      <c r="A245" s="17"/>
      <c r="B245" s="72" t="s">
        <v>347</v>
      </c>
      <c r="C245" s="55" t="s">
        <v>252</v>
      </c>
      <c r="D245" s="6">
        <v>21.5</v>
      </c>
      <c r="E245" s="6"/>
      <c r="F245" s="6">
        <v>0</v>
      </c>
      <c r="G245" s="5"/>
      <c r="H245" s="68">
        <f t="shared" si="20"/>
        <v>-21.5</v>
      </c>
      <c r="I245" s="73">
        <f t="shared" si="21"/>
        <v>0</v>
      </c>
      <c r="J245" s="58"/>
      <c r="L245" s="29"/>
    </row>
    <row r="246" spans="1:12" ht="31.5">
      <c r="A246" s="17"/>
      <c r="B246" s="72" t="s">
        <v>339</v>
      </c>
      <c r="C246" s="55" t="s">
        <v>189</v>
      </c>
      <c r="D246" s="6">
        <v>2.8</v>
      </c>
      <c r="E246" s="6"/>
      <c r="F246" s="6">
        <v>0</v>
      </c>
      <c r="G246" s="5"/>
      <c r="H246" s="68">
        <f t="shared" si="20"/>
        <v>-2.8</v>
      </c>
      <c r="I246" s="73">
        <f t="shared" si="21"/>
        <v>0</v>
      </c>
      <c r="J246" s="58"/>
      <c r="L246" s="29"/>
    </row>
    <row r="247" spans="1:12" ht="31.5">
      <c r="A247" s="17"/>
      <c r="B247" s="72" t="s">
        <v>71</v>
      </c>
      <c r="C247" s="55" t="s">
        <v>253</v>
      </c>
      <c r="D247" s="6">
        <f>D248+D249</f>
        <v>254.98187</v>
      </c>
      <c r="E247" s="6">
        <f>E248+E249</f>
        <v>10</v>
      </c>
      <c r="F247" s="6">
        <f>F248+F249</f>
        <v>202.13155</v>
      </c>
      <c r="G247" s="5"/>
      <c r="H247" s="68">
        <f t="shared" si="20"/>
        <v>-52.85031999999998</v>
      </c>
      <c r="I247" s="73">
        <f t="shared" si="21"/>
        <v>79.27291065831466</v>
      </c>
      <c r="J247" s="58"/>
      <c r="L247" s="29"/>
    </row>
    <row r="248" spans="1:12" ht="69.75" customHeight="1">
      <c r="A248" s="17"/>
      <c r="B248" s="49" t="s">
        <v>438</v>
      </c>
      <c r="C248" s="7" t="s">
        <v>37</v>
      </c>
      <c r="D248" s="1">
        <v>254.98187</v>
      </c>
      <c r="E248" s="6">
        <v>10</v>
      </c>
      <c r="F248" s="1">
        <v>202.13155</v>
      </c>
      <c r="G248" s="5" t="e">
        <f>F248-#REF!</f>
        <v>#REF!</v>
      </c>
      <c r="H248" s="69">
        <f t="shared" si="20"/>
        <v>-52.85031999999998</v>
      </c>
      <c r="I248" s="70">
        <f t="shared" si="21"/>
        <v>79.27291065831466</v>
      </c>
      <c r="J248" s="58"/>
      <c r="L248" s="29"/>
    </row>
    <row r="249" spans="1:12" ht="63" hidden="1">
      <c r="A249" s="17"/>
      <c r="B249" s="49" t="s">
        <v>70</v>
      </c>
      <c r="C249" s="7" t="s">
        <v>37</v>
      </c>
      <c r="D249" s="1">
        <v>0</v>
      </c>
      <c r="E249" s="6"/>
      <c r="F249" s="1"/>
      <c r="G249" s="5"/>
      <c r="H249" s="69">
        <f t="shared" si="20"/>
        <v>0</v>
      </c>
      <c r="I249" s="70" t="e">
        <f t="shared" si="21"/>
        <v>#DIV/0!</v>
      </c>
      <c r="J249" s="58"/>
      <c r="L249" s="29"/>
    </row>
    <row r="250" spans="1:12" ht="15.75">
      <c r="A250" s="17"/>
      <c r="B250" s="72" t="s">
        <v>479</v>
      </c>
      <c r="C250" s="55" t="s">
        <v>254</v>
      </c>
      <c r="D250" s="6">
        <f>D251+D255+D252+D254+D253</f>
        <v>238.90541</v>
      </c>
      <c r="E250" s="6">
        <f>E251+E255+E252+E254+E253</f>
        <v>0</v>
      </c>
      <c r="F250" s="6">
        <f>F251+F255+F252+F254+F253</f>
        <v>212.24041</v>
      </c>
      <c r="G250" s="5"/>
      <c r="H250" s="68">
        <f t="shared" si="20"/>
        <v>-26.664999999999992</v>
      </c>
      <c r="I250" s="73">
        <f t="shared" si="21"/>
        <v>88.83867887294808</v>
      </c>
      <c r="J250" s="58"/>
      <c r="L250" s="29"/>
    </row>
    <row r="251" spans="1:12" ht="47.25">
      <c r="A251" s="17"/>
      <c r="B251" s="49" t="s">
        <v>479</v>
      </c>
      <c r="C251" s="7" t="s">
        <v>255</v>
      </c>
      <c r="D251" s="1">
        <v>130.05701</v>
      </c>
      <c r="E251" s="6"/>
      <c r="F251" s="1">
        <v>130.05701</v>
      </c>
      <c r="G251" s="5"/>
      <c r="H251" s="69">
        <f t="shared" si="20"/>
        <v>0</v>
      </c>
      <c r="I251" s="70">
        <f t="shared" si="21"/>
        <v>100</v>
      </c>
      <c r="J251" s="58"/>
      <c r="L251" s="29"/>
    </row>
    <row r="252" spans="1:12" ht="31.5">
      <c r="A252" s="17"/>
      <c r="B252" s="49" t="s">
        <v>479</v>
      </c>
      <c r="C252" s="7" t="s">
        <v>256</v>
      </c>
      <c r="D252" s="1">
        <v>11.9484</v>
      </c>
      <c r="E252" s="6"/>
      <c r="F252" s="1">
        <v>11.9484</v>
      </c>
      <c r="G252" s="5"/>
      <c r="H252" s="69">
        <f aca="true" t="shared" si="22" ref="H252:H283">F252-D252</f>
        <v>0</v>
      </c>
      <c r="I252" s="70">
        <f aca="true" t="shared" si="23" ref="I252:I283">F252/D252*100</f>
        <v>100</v>
      </c>
      <c r="J252" s="58"/>
      <c r="L252" s="29"/>
    </row>
    <row r="253" spans="1:12" ht="31.5">
      <c r="A253" s="17"/>
      <c r="B253" s="49" t="s">
        <v>479</v>
      </c>
      <c r="C253" s="7" t="s">
        <v>190</v>
      </c>
      <c r="D253" s="1">
        <v>32.9</v>
      </c>
      <c r="E253" s="6"/>
      <c r="F253" s="1">
        <v>32.9</v>
      </c>
      <c r="G253" s="5"/>
      <c r="H253" s="69">
        <f t="shared" si="22"/>
        <v>0</v>
      </c>
      <c r="I253" s="70">
        <f t="shared" si="23"/>
        <v>100</v>
      </c>
      <c r="J253" s="58"/>
      <c r="L253" s="29"/>
    </row>
    <row r="254" spans="1:12" ht="31.5">
      <c r="A254" s="17"/>
      <c r="B254" s="49" t="s">
        <v>479</v>
      </c>
      <c r="C254" s="7" t="s">
        <v>257</v>
      </c>
      <c r="D254" s="1">
        <v>64</v>
      </c>
      <c r="E254" s="6"/>
      <c r="F254" s="1">
        <v>37.335</v>
      </c>
      <c r="G254" s="5"/>
      <c r="H254" s="69">
        <f t="shared" si="22"/>
        <v>-26.665</v>
      </c>
      <c r="I254" s="70">
        <f t="shared" si="23"/>
        <v>58.3359375</v>
      </c>
      <c r="J254" s="58"/>
      <c r="L254" s="29"/>
    </row>
    <row r="255" spans="1:12" ht="31.5" hidden="1">
      <c r="A255" s="17"/>
      <c r="B255" s="49" t="s">
        <v>479</v>
      </c>
      <c r="C255" s="7" t="s">
        <v>258</v>
      </c>
      <c r="D255" s="1"/>
      <c r="E255" s="6"/>
      <c r="F255" s="1"/>
      <c r="G255" s="5"/>
      <c r="H255" s="69">
        <f t="shared" si="22"/>
        <v>0</v>
      </c>
      <c r="I255" s="70" t="e">
        <f t="shared" si="23"/>
        <v>#DIV/0!</v>
      </c>
      <c r="J255" s="58"/>
      <c r="L255" s="29"/>
    </row>
    <row r="256" spans="1:12" ht="15.75">
      <c r="A256" s="17"/>
      <c r="B256" s="72" t="s">
        <v>466</v>
      </c>
      <c r="C256" s="55" t="s">
        <v>259</v>
      </c>
      <c r="D256" s="6">
        <f>D257+D265+D258+D261+D262+D264+D259+D260+D263</f>
        <v>478.6560000000004</v>
      </c>
      <c r="E256" s="6">
        <f>E257+E265+E258+E261+E262+E264+E259+E260+E263</f>
        <v>0</v>
      </c>
      <c r="F256" s="6">
        <f>F257+F265+F258+F261+F262+F264+F259+F260+F263</f>
        <v>339.54588</v>
      </c>
      <c r="G256" s="5"/>
      <c r="H256" s="68">
        <f t="shared" si="22"/>
        <v>-139.1101200000004</v>
      </c>
      <c r="I256" s="73">
        <f t="shared" si="23"/>
        <v>70.93734957882064</v>
      </c>
      <c r="J256" s="58"/>
      <c r="L256" s="29"/>
    </row>
    <row r="257" spans="1:12" ht="63">
      <c r="A257" s="17" t="s">
        <v>318</v>
      </c>
      <c r="B257" s="48" t="s">
        <v>467</v>
      </c>
      <c r="C257" s="3" t="s">
        <v>191</v>
      </c>
      <c r="D257" s="12">
        <v>250</v>
      </c>
      <c r="E257" s="13"/>
      <c r="F257" s="4">
        <v>250</v>
      </c>
      <c r="G257" s="5"/>
      <c r="H257" s="69">
        <f t="shared" si="22"/>
        <v>0</v>
      </c>
      <c r="I257" s="70">
        <f t="shared" si="23"/>
        <v>100</v>
      </c>
      <c r="J257" s="58"/>
      <c r="L257" s="29"/>
    </row>
    <row r="258" spans="1:12" ht="83.25" customHeight="1" hidden="1">
      <c r="A258" s="22"/>
      <c r="B258" s="49" t="s">
        <v>467</v>
      </c>
      <c r="C258" s="3" t="s">
        <v>188</v>
      </c>
      <c r="D258" s="1">
        <v>0</v>
      </c>
      <c r="E258" s="6"/>
      <c r="F258" s="1">
        <v>0</v>
      </c>
      <c r="G258" s="5"/>
      <c r="H258" s="69">
        <f t="shared" si="22"/>
        <v>0</v>
      </c>
      <c r="I258" s="70" t="e">
        <f t="shared" si="23"/>
        <v>#DIV/0!</v>
      </c>
      <c r="J258" s="2"/>
      <c r="L258" s="40"/>
    </row>
    <row r="259" spans="1:12" ht="63" hidden="1">
      <c r="A259" s="22"/>
      <c r="B259" s="49" t="s">
        <v>467</v>
      </c>
      <c r="C259" s="3" t="s">
        <v>279</v>
      </c>
      <c r="D259" s="1">
        <v>0</v>
      </c>
      <c r="E259" s="6"/>
      <c r="F259" s="1">
        <v>0</v>
      </c>
      <c r="G259" s="5"/>
      <c r="H259" s="69">
        <f t="shared" si="22"/>
        <v>0</v>
      </c>
      <c r="I259" s="70" t="e">
        <f t="shared" si="23"/>
        <v>#DIV/0!</v>
      </c>
      <c r="J259" s="2"/>
      <c r="L259" s="40"/>
    </row>
    <row r="260" spans="1:12" ht="83.25" customHeight="1">
      <c r="A260" s="22"/>
      <c r="B260" s="49" t="s">
        <v>467</v>
      </c>
      <c r="C260" s="3" t="s">
        <v>185</v>
      </c>
      <c r="D260" s="1">
        <v>151.8</v>
      </c>
      <c r="E260" s="6"/>
      <c r="F260" s="1">
        <v>65.4</v>
      </c>
      <c r="G260" s="5"/>
      <c r="H260" s="69">
        <f t="shared" si="22"/>
        <v>-86.4</v>
      </c>
      <c r="I260" s="70">
        <f t="shared" si="23"/>
        <v>43.08300395256917</v>
      </c>
      <c r="J260" s="2"/>
      <c r="L260" s="40"/>
    </row>
    <row r="261" spans="1:12" ht="78.75">
      <c r="A261" s="22"/>
      <c r="B261" s="49" t="s">
        <v>467</v>
      </c>
      <c r="C261" s="55" t="s">
        <v>274</v>
      </c>
      <c r="D261" s="1">
        <v>38.69</v>
      </c>
      <c r="E261" s="6"/>
      <c r="F261" s="1">
        <v>3.69</v>
      </c>
      <c r="G261" s="5"/>
      <c r="H261" s="69">
        <f t="shared" si="22"/>
        <v>-35</v>
      </c>
      <c r="I261" s="70">
        <f t="shared" si="23"/>
        <v>9.537348151977255</v>
      </c>
      <c r="J261" s="2"/>
      <c r="L261" s="40"/>
    </row>
    <row r="262" spans="1:12" ht="78.75">
      <c r="A262" s="22"/>
      <c r="B262" s="49" t="s">
        <v>467</v>
      </c>
      <c r="C262" s="55" t="s">
        <v>275</v>
      </c>
      <c r="D262" s="1">
        <v>14</v>
      </c>
      <c r="E262" s="6"/>
      <c r="F262" s="1">
        <v>0</v>
      </c>
      <c r="G262" s="5"/>
      <c r="H262" s="69">
        <f t="shared" si="22"/>
        <v>-14</v>
      </c>
      <c r="I262" s="70">
        <f t="shared" si="23"/>
        <v>0</v>
      </c>
      <c r="J262" s="2"/>
      <c r="L262" s="40"/>
    </row>
    <row r="263" spans="1:12" ht="63">
      <c r="A263" s="22"/>
      <c r="B263" s="49" t="s">
        <v>467</v>
      </c>
      <c r="C263" s="7" t="s">
        <v>228</v>
      </c>
      <c r="D263" s="1">
        <v>5.166</v>
      </c>
      <c r="E263" s="6"/>
      <c r="F263" s="1">
        <v>5.16588</v>
      </c>
      <c r="G263" s="5"/>
      <c r="H263" s="69">
        <f t="shared" si="22"/>
        <v>-0.00012000000000078614</v>
      </c>
      <c r="I263" s="70">
        <f t="shared" si="23"/>
        <v>99.99767711962832</v>
      </c>
      <c r="J263" s="2"/>
      <c r="L263" s="40"/>
    </row>
    <row r="264" spans="1:12" ht="78" customHeight="1">
      <c r="A264" s="22"/>
      <c r="B264" s="49" t="s">
        <v>467</v>
      </c>
      <c r="C264" s="47" t="s">
        <v>186</v>
      </c>
      <c r="D264" s="1">
        <v>19</v>
      </c>
      <c r="E264" s="6"/>
      <c r="F264" s="1">
        <v>15.29</v>
      </c>
      <c r="G264" s="5"/>
      <c r="H264" s="69">
        <f t="shared" si="22"/>
        <v>-3.710000000000001</v>
      </c>
      <c r="I264" s="70">
        <f t="shared" si="23"/>
        <v>80.47368421052632</v>
      </c>
      <c r="J264" s="2"/>
      <c r="L264" s="40"/>
    </row>
    <row r="265" spans="1:12" ht="63" hidden="1">
      <c r="A265" s="22" t="s">
        <v>308</v>
      </c>
      <c r="B265" s="72" t="s">
        <v>72</v>
      </c>
      <c r="C265" s="74" t="s">
        <v>74</v>
      </c>
      <c r="D265" s="6">
        <f>4444.8-4246.99-197.81</f>
        <v>3.979039320256561E-13</v>
      </c>
      <c r="E265" s="6"/>
      <c r="F265" s="6">
        <v>0</v>
      </c>
      <c r="G265" s="5"/>
      <c r="H265" s="68">
        <f t="shared" si="22"/>
        <v>-3.979039320256561E-13</v>
      </c>
      <c r="I265" s="73">
        <f t="shared" si="23"/>
        <v>0</v>
      </c>
      <c r="J265" s="2"/>
      <c r="L265" s="40"/>
    </row>
    <row r="266" spans="1:12" s="28" customFormat="1" ht="15.75">
      <c r="A266" s="91"/>
      <c r="B266" s="91"/>
      <c r="C266" s="80" t="s">
        <v>474</v>
      </c>
      <c r="D266" s="71">
        <f>D268+D270+D276+D279+D283</f>
        <v>4099.778950000001</v>
      </c>
      <c r="E266" s="71">
        <f>E268+E270+E276+E279+E283</f>
        <v>19</v>
      </c>
      <c r="F266" s="71">
        <f>F268+F270+F276+F279+F283</f>
        <v>2502.12974</v>
      </c>
      <c r="G266" s="71" t="e">
        <f>#REF!+#REF!+#REF!+#REF!+#REF!+#REF!+#REF!+#REF!</f>
        <v>#REF!</v>
      </c>
      <c r="H266" s="68">
        <f t="shared" si="22"/>
        <v>-1597.649210000001</v>
      </c>
      <c r="I266" s="73">
        <f t="shared" si="23"/>
        <v>61.03084508983099</v>
      </c>
      <c r="J266" s="59"/>
      <c r="L266" s="105"/>
    </row>
    <row r="267" spans="1:12" ht="15.75" hidden="1">
      <c r="A267" s="27" t="s">
        <v>295</v>
      </c>
      <c r="B267" s="64" t="s">
        <v>296</v>
      </c>
      <c r="C267" s="80" t="s">
        <v>392</v>
      </c>
      <c r="D267" s="71"/>
      <c r="E267" s="71"/>
      <c r="F267" s="71"/>
      <c r="G267" s="71"/>
      <c r="H267" s="68">
        <f t="shared" si="22"/>
        <v>0</v>
      </c>
      <c r="I267" s="73" t="e">
        <f t="shared" si="23"/>
        <v>#DIV/0!</v>
      </c>
      <c r="J267" s="2"/>
      <c r="L267" s="40"/>
    </row>
    <row r="268" spans="1:12" ht="20.25" customHeight="1">
      <c r="A268" s="27" t="s">
        <v>295</v>
      </c>
      <c r="B268" s="64" t="s">
        <v>296</v>
      </c>
      <c r="C268" s="74" t="s">
        <v>38</v>
      </c>
      <c r="D268" s="71">
        <v>107.0432</v>
      </c>
      <c r="E268" s="71"/>
      <c r="F268" s="71">
        <v>40.3022</v>
      </c>
      <c r="G268" s="71"/>
      <c r="H268" s="68">
        <f t="shared" si="22"/>
        <v>-66.741</v>
      </c>
      <c r="I268" s="73">
        <f t="shared" si="23"/>
        <v>37.65040656482616</v>
      </c>
      <c r="J268" s="2"/>
      <c r="L268" s="40"/>
    </row>
    <row r="269" spans="1:12" ht="13.5" customHeight="1" hidden="1">
      <c r="A269" s="27" t="s">
        <v>295</v>
      </c>
      <c r="B269" s="64" t="s">
        <v>296</v>
      </c>
      <c r="C269" s="55" t="s">
        <v>473</v>
      </c>
      <c r="D269" s="71">
        <v>0</v>
      </c>
      <c r="E269" s="71"/>
      <c r="F269" s="71"/>
      <c r="G269" s="71"/>
      <c r="H269" s="68">
        <f t="shared" si="22"/>
        <v>0</v>
      </c>
      <c r="I269" s="73" t="e">
        <f t="shared" si="23"/>
        <v>#DIV/0!</v>
      </c>
      <c r="J269" s="2"/>
      <c r="L269" s="40"/>
    </row>
    <row r="270" spans="1:12" ht="15.75">
      <c r="A270" s="17" t="s">
        <v>297</v>
      </c>
      <c r="B270" s="64" t="s">
        <v>298</v>
      </c>
      <c r="C270" s="74" t="s">
        <v>264</v>
      </c>
      <c r="D270" s="71">
        <f>D271+D272+D273+D274+D275</f>
        <v>3811.48275</v>
      </c>
      <c r="E270" s="71">
        <f>E271+E272+E273+E274+E275</f>
        <v>0</v>
      </c>
      <c r="F270" s="71">
        <f>F271+F272+F273+F274+F275</f>
        <v>2344.99912</v>
      </c>
      <c r="G270" s="71"/>
      <c r="H270" s="68">
        <f t="shared" si="22"/>
        <v>-1466.4836300000002</v>
      </c>
      <c r="I270" s="73">
        <f t="shared" si="23"/>
        <v>61.52458961017205</v>
      </c>
      <c r="J270" s="2"/>
      <c r="L270" s="40"/>
    </row>
    <row r="271" spans="1:12" ht="15.75">
      <c r="A271" s="17"/>
      <c r="B271" s="64" t="s">
        <v>356</v>
      </c>
      <c r="C271" s="63" t="s">
        <v>45</v>
      </c>
      <c r="D271" s="71">
        <v>2109.44465</v>
      </c>
      <c r="E271" s="71"/>
      <c r="F271" s="71">
        <v>1118.82974</v>
      </c>
      <c r="G271" s="71"/>
      <c r="H271" s="68">
        <f t="shared" si="22"/>
        <v>-990.61491</v>
      </c>
      <c r="I271" s="73">
        <f t="shared" si="23"/>
        <v>53.03906599303281</v>
      </c>
      <c r="J271" s="2"/>
      <c r="L271" s="40"/>
    </row>
    <row r="272" spans="1:12" ht="15.75">
      <c r="A272" s="17"/>
      <c r="B272" s="64" t="s">
        <v>358</v>
      </c>
      <c r="C272" s="63" t="s">
        <v>44</v>
      </c>
      <c r="D272" s="71">
        <v>1667.0031</v>
      </c>
      <c r="E272" s="71"/>
      <c r="F272" s="71">
        <v>1202.60038</v>
      </c>
      <c r="G272" s="71"/>
      <c r="H272" s="68">
        <f t="shared" si="22"/>
        <v>-464.4027199999998</v>
      </c>
      <c r="I272" s="73">
        <f t="shared" si="23"/>
        <v>72.14146032481884</v>
      </c>
      <c r="J272" s="2"/>
      <c r="L272" s="40"/>
    </row>
    <row r="273" spans="1:12" ht="15.75">
      <c r="A273" s="17"/>
      <c r="B273" s="64" t="s">
        <v>360</v>
      </c>
      <c r="C273" s="74" t="s">
        <v>395</v>
      </c>
      <c r="D273" s="71">
        <v>17.684</v>
      </c>
      <c r="E273" s="71"/>
      <c r="F273" s="71">
        <v>14.218</v>
      </c>
      <c r="G273" s="71"/>
      <c r="H273" s="68">
        <f t="shared" si="22"/>
        <v>-3.466000000000001</v>
      </c>
      <c r="I273" s="73">
        <f t="shared" si="23"/>
        <v>80.40036190907034</v>
      </c>
      <c r="J273" s="2"/>
      <c r="L273" s="40"/>
    </row>
    <row r="274" spans="1:12" ht="31.5">
      <c r="A274" s="17"/>
      <c r="B274" s="64" t="s">
        <v>377</v>
      </c>
      <c r="C274" s="74" t="s">
        <v>398</v>
      </c>
      <c r="D274" s="71">
        <v>17.351</v>
      </c>
      <c r="E274" s="71"/>
      <c r="F274" s="71">
        <v>9.351</v>
      </c>
      <c r="G274" s="71"/>
      <c r="H274" s="68">
        <f t="shared" si="22"/>
        <v>-7.999999999999998</v>
      </c>
      <c r="I274" s="73">
        <f t="shared" si="23"/>
        <v>53.89314736902773</v>
      </c>
      <c r="J274" s="2"/>
      <c r="L274" s="40"/>
    </row>
    <row r="275" spans="1:12" ht="20.25" customHeight="1" hidden="1">
      <c r="A275" s="17"/>
      <c r="B275" s="64" t="s">
        <v>372</v>
      </c>
      <c r="C275" s="74" t="s">
        <v>399</v>
      </c>
      <c r="D275" s="71"/>
      <c r="E275" s="71"/>
      <c r="F275" s="71"/>
      <c r="G275" s="71"/>
      <c r="H275" s="68">
        <f t="shared" si="22"/>
        <v>0</v>
      </c>
      <c r="I275" s="73" t="e">
        <f t="shared" si="23"/>
        <v>#DIV/0!</v>
      </c>
      <c r="J275" s="2"/>
      <c r="L275" s="40"/>
    </row>
    <row r="276" spans="1:12" ht="15.75">
      <c r="A276" s="17"/>
      <c r="B276" s="64" t="s">
        <v>300</v>
      </c>
      <c r="C276" s="74" t="s">
        <v>265</v>
      </c>
      <c r="D276" s="71">
        <f>D277+D278</f>
        <v>45.3</v>
      </c>
      <c r="E276" s="71">
        <f>E277+E278</f>
        <v>19</v>
      </c>
      <c r="F276" s="71">
        <f>F277+F278</f>
        <v>12.53098</v>
      </c>
      <c r="G276" s="71"/>
      <c r="H276" s="68">
        <f t="shared" si="22"/>
        <v>-32.76902</v>
      </c>
      <c r="I276" s="73">
        <f t="shared" si="23"/>
        <v>27.662207505518765</v>
      </c>
      <c r="J276" s="2"/>
      <c r="L276" s="40"/>
    </row>
    <row r="277" spans="1:12" ht="63" hidden="1">
      <c r="A277" s="17"/>
      <c r="B277" s="48" t="s">
        <v>19</v>
      </c>
      <c r="C277" s="7" t="s">
        <v>238</v>
      </c>
      <c r="D277" s="1"/>
      <c r="E277" s="15"/>
      <c r="F277" s="4"/>
      <c r="G277" s="5"/>
      <c r="H277" s="69">
        <f t="shared" si="22"/>
        <v>0</v>
      </c>
      <c r="I277" s="70" t="e">
        <f t="shared" si="23"/>
        <v>#DIV/0!</v>
      </c>
      <c r="J277" s="2"/>
      <c r="L277" s="40"/>
    </row>
    <row r="278" spans="1:12" ht="63">
      <c r="A278" s="27" t="s">
        <v>311</v>
      </c>
      <c r="B278" s="48" t="s">
        <v>312</v>
      </c>
      <c r="C278" s="18" t="s">
        <v>34</v>
      </c>
      <c r="D278" s="15">
        <v>45.3</v>
      </c>
      <c r="E278" s="15">
        <v>19</v>
      </c>
      <c r="F278" s="4">
        <v>12.53098</v>
      </c>
      <c r="G278" s="5">
        <f>F278-L270</f>
        <v>12.53098</v>
      </c>
      <c r="H278" s="69">
        <f t="shared" si="22"/>
        <v>-32.76902</v>
      </c>
      <c r="I278" s="70">
        <f t="shared" si="23"/>
        <v>27.662207505518765</v>
      </c>
      <c r="J278" s="2"/>
      <c r="L278" s="40"/>
    </row>
    <row r="279" spans="1:12" ht="15.75">
      <c r="A279" s="19" t="s">
        <v>322</v>
      </c>
      <c r="B279" s="72" t="s">
        <v>335</v>
      </c>
      <c r="C279" s="55" t="s">
        <v>266</v>
      </c>
      <c r="D279" s="71">
        <f>D280+D281+D282</f>
        <v>135.183</v>
      </c>
      <c r="E279" s="71">
        <f>E280+E281+E282</f>
        <v>0</v>
      </c>
      <c r="F279" s="71">
        <f>F280+F281+F282</f>
        <v>103.52744</v>
      </c>
      <c r="G279" s="71"/>
      <c r="H279" s="68">
        <f t="shared" si="22"/>
        <v>-31.655559999999994</v>
      </c>
      <c r="I279" s="73">
        <f t="shared" si="23"/>
        <v>76.5831798377015</v>
      </c>
      <c r="J279" s="2"/>
      <c r="L279" s="40"/>
    </row>
    <row r="280" spans="1:12" ht="18" customHeight="1">
      <c r="A280" s="19"/>
      <c r="B280" s="49" t="s">
        <v>445</v>
      </c>
      <c r="C280" s="24" t="s">
        <v>244</v>
      </c>
      <c r="D280" s="12">
        <v>0.083</v>
      </c>
      <c r="E280" s="12"/>
      <c r="F280" s="12">
        <v>0</v>
      </c>
      <c r="G280" s="12"/>
      <c r="H280" s="69">
        <f t="shared" si="22"/>
        <v>-0.083</v>
      </c>
      <c r="I280" s="70">
        <f t="shared" si="23"/>
        <v>0</v>
      </c>
      <c r="J280" s="2"/>
      <c r="L280" s="40"/>
    </row>
    <row r="281" spans="1:12" ht="16.5" customHeight="1" hidden="1">
      <c r="A281" s="19"/>
      <c r="B281" s="49" t="s">
        <v>288</v>
      </c>
      <c r="C281" s="24" t="s">
        <v>268</v>
      </c>
      <c r="D281" s="12"/>
      <c r="E281" s="12"/>
      <c r="F281" s="12"/>
      <c r="G281" s="12"/>
      <c r="H281" s="69">
        <f t="shared" si="22"/>
        <v>0</v>
      </c>
      <c r="I281" s="70" t="e">
        <f t="shared" si="23"/>
        <v>#DIV/0!</v>
      </c>
      <c r="J281" s="2"/>
      <c r="L281" s="40"/>
    </row>
    <row r="282" spans="1:12" ht="15.75">
      <c r="A282" s="19"/>
      <c r="B282" s="49" t="s">
        <v>446</v>
      </c>
      <c r="C282" s="99" t="s">
        <v>267</v>
      </c>
      <c r="D282" s="12">
        <v>135.1</v>
      </c>
      <c r="E282" s="12"/>
      <c r="F282" s="12">
        <v>103.52744</v>
      </c>
      <c r="G282" s="12"/>
      <c r="H282" s="69">
        <f t="shared" si="22"/>
        <v>-31.572559999999996</v>
      </c>
      <c r="I282" s="70">
        <f t="shared" si="23"/>
        <v>76.63022945965952</v>
      </c>
      <c r="J282" s="2"/>
      <c r="L282" s="40"/>
    </row>
    <row r="283" spans="1:12" ht="30.75" customHeight="1">
      <c r="A283" s="19"/>
      <c r="B283" s="72" t="s">
        <v>324</v>
      </c>
      <c r="C283" s="3" t="s">
        <v>247</v>
      </c>
      <c r="D283" s="71">
        <f>D284</f>
        <v>0.77</v>
      </c>
      <c r="E283" s="71">
        <f>E284</f>
        <v>0</v>
      </c>
      <c r="F283" s="71">
        <f>F284</f>
        <v>0.77</v>
      </c>
      <c r="G283" s="71"/>
      <c r="H283" s="68">
        <f t="shared" si="22"/>
        <v>0</v>
      </c>
      <c r="I283" s="73">
        <f t="shared" si="23"/>
        <v>100</v>
      </c>
      <c r="J283" s="2"/>
      <c r="L283" s="40"/>
    </row>
    <row r="284" spans="1:12" ht="31.5">
      <c r="A284" s="19"/>
      <c r="B284" s="72" t="s">
        <v>325</v>
      </c>
      <c r="C284" s="3" t="s">
        <v>39</v>
      </c>
      <c r="D284" s="71">
        <v>0.77</v>
      </c>
      <c r="E284" s="71"/>
      <c r="F284" s="71">
        <v>0.77</v>
      </c>
      <c r="G284" s="71"/>
      <c r="H284" s="68">
        <f aca="true" t="shared" si="24" ref="H284:H307">F284-D284</f>
        <v>0</v>
      </c>
      <c r="I284" s="73">
        <f aca="true" t="shared" si="25" ref="I284:I307">F284/D284*100</f>
        <v>100</v>
      </c>
      <c r="J284" s="2"/>
      <c r="L284" s="40"/>
    </row>
    <row r="285" spans="1:12" s="28" customFormat="1" ht="15.75">
      <c r="A285" s="97"/>
      <c r="B285" s="64"/>
      <c r="C285" s="80" t="s">
        <v>476</v>
      </c>
      <c r="D285" s="71">
        <f>D286+D287+D294+D298+D299+D305</f>
        <v>671.40964</v>
      </c>
      <c r="E285" s="71">
        <f>E286+E287+E294+E298+E299+E305</f>
        <v>20.700000000000003</v>
      </c>
      <c r="F285" s="71">
        <f>F286+F287+F294+F298+F299+F305</f>
        <v>666.07298</v>
      </c>
      <c r="G285" s="71"/>
      <c r="H285" s="68">
        <f t="shared" si="24"/>
        <v>-5.336659999999938</v>
      </c>
      <c r="I285" s="73">
        <f t="shared" si="25"/>
        <v>99.20515588665066</v>
      </c>
      <c r="J285" s="59"/>
      <c r="L285" s="105"/>
    </row>
    <row r="286" spans="1:12" ht="24" customHeight="1" hidden="1">
      <c r="A286" s="27"/>
      <c r="B286" s="64" t="s">
        <v>296</v>
      </c>
      <c r="C286" s="80" t="s">
        <v>89</v>
      </c>
      <c r="D286" s="71"/>
      <c r="E286" s="71"/>
      <c r="F286" s="71"/>
      <c r="G286" s="71"/>
      <c r="H286" s="68">
        <f t="shared" si="24"/>
        <v>0</v>
      </c>
      <c r="I286" s="73" t="e">
        <f t="shared" si="25"/>
        <v>#DIV/0!</v>
      </c>
      <c r="J286" s="2"/>
      <c r="L286" s="40"/>
    </row>
    <row r="287" spans="1:12" ht="15.75">
      <c r="A287" s="17" t="s">
        <v>297</v>
      </c>
      <c r="B287" s="64" t="s">
        <v>298</v>
      </c>
      <c r="C287" s="74" t="s">
        <v>264</v>
      </c>
      <c r="D287" s="71">
        <f>D288+D289+D290+D291+D293+D292</f>
        <v>622.44713</v>
      </c>
      <c r="E287" s="71">
        <f>E288+E289+E290+E291+E293+E292</f>
        <v>0</v>
      </c>
      <c r="F287" s="71">
        <f>F288+F289+F290+F291+F293+F292</f>
        <v>618.92047</v>
      </c>
      <c r="G287" s="71"/>
      <c r="H287" s="68">
        <f t="shared" si="24"/>
        <v>-3.5266599999999926</v>
      </c>
      <c r="I287" s="73">
        <f t="shared" si="25"/>
        <v>99.4334201524875</v>
      </c>
      <c r="J287" s="2"/>
      <c r="L287" s="40"/>
    </row>
    <row r="288" spans="1:12" ht="15.75">
      <c r="A288" s="17"/>
      <c r="B288" s="48" t="s">
        <v>356</v>
      </c>
      <c r="C288" s="20" t="s">
        <v>45</v>
      </c>
      <c r="D288" s="12">
        <v>367.90935</v>
      </c>
      <c r="E288" s="12"/>
      <c r="F288" s="12">
        <v>367.90935</v>
      </c>
      <c r="G288" s="12"/>
      <c r="H288" s="69">
        <f t="shared" si="24"/>
        <v>0</v>
      </c>
      <c r="I288" s="70">
        <f t="shared" si="25"/>
        <v>100</v>
      </c>
      <c r="J288" s="2"/>
      <c r="L288" s="40"/>
    </row>
    <row r="289" spans="1:12" ht="15.75">
      <c r="A289" s="17"/>
      <c r="B289" s="48" t="s">
        <v>358</v>
      </c>
      <c r="C289" s="20" t="s">
        <v>44</v>
      </c>
      <c r="D289" s="12">
        <v>247.88003</v>
      </c>
      <c r="E289" s="12"/>
      <c r="F289" s="12">
        <v>244.35337</v>
      </c>
      <c r="G289" s="12"/>
      <c r="H289" s="69">
        <f t="shared" si="24"/>
        <v>-3.5266599999999926</v>
      </c>
      <c r="I289" s="70">
        <f t="shared" si="25"/>
        <v>98.57727143247482</v>
      </c>
      <c r="J289" s="2"/>
      <c r="L289" s="40"/>
    </row>
    <row r="290" spans="1:12" ht="15.75">
      <c r="A290" s="17"/>
      <c r="B290" s="48" t="s">
        <v>360</v>
      </c>
      <c r="C290" s="18" t="s">
        <v>395</v>
      </c>
      <c r="D290" s="12">
        <v>6.51375</v>
      </c>
      <c r="E290" s="12"/>
      <c r="F290" s="12">
        <v>6.51375</v>
      </c>
      <c r="G290" s="12"/>
      <c r="H290" s="69">
        <f t="shared" si="24"/>
        <v>0</v>
      </c>
      <c r="I290" s="70">
        <f t="shared" si="25"/>
        <v>100</v>
      </c>
      <c r="J290" s="2"/>
      <c r="L290" s="40"/>
    </row>
    <row r="291" spans="1:12" ht="15" customHeight="1">
      <c r="A291" s="17"/>
      <c r="B291" s="48" t="s">
        <v>375</v>
      </c>
      <c r="C291" s="18" t="s">
        <v>46</v>
      </c>
      <c r="D291" s="12">
        <v>0.144</v>
      </c>
      <c r="E291" s="12"/>
      <c r="F291" s="12">
        <v>0.144</v>
      </c>
      <c r="G291" s="12"/>
      <c r="H291" s="69">
        <f t="shared" si="24"/>
        <v>0</v>
      </c>
      <c r="I291" s="70">
        <f t="shared" si="25"/>
        <v>100</v>
      </c>
      <c r="J291" s="2"/>
      <c r="L291" s="40"/>
    </row>
    <row r="292" spans="1:12" ht="31.5" hidden="1">
      <c r="A292" s="17"/>
      <c r="B292" s="48" t="s">
        <v>377</v>
      </c>
      <c r="C292" s="18" t="s">
        <v>398</v>
      </c>
      <c r="D292" s="12"/>
      <c r="E292" s="12"/>
      <c r="F292" s="12"/>
      <c r="G292" s="12"/>
      <c r="H292" s="69">
        <f t="shared" si="24"/>
        <v>0</v>
      </c>
      <c r="I292" s="70" t="e">
        <f t="shared" si="25"/>
        <v>#DIV/0!</v>
      </c>
      <c r="J292" s="2"/>
      <c r="L292" s="40"/>
    </row>
    <row r="293" spans="1:12" ht="31.5" hidden="1">
      <c r="A293" s="17"/>
      <c r="B293" s="48" t="s">
        <v>372</v>
      </c>
      <c r="C293" s="18" t="s">
        <v>399</v>
      </c>
      <c r="D293" s="12"/>
      <c r="E293" s="12"/>
      <c r="F293" s="12"/>
      <c r="G293" s="12"/>
      <c r="H293" s="69">
        <f t="shared" si="24"/>
        <v>0</v>
      </c>
      <c r="I293" s="70" t="e">
        <f t="shared" si="25"/>
        <v>#DIV/0!</v>
      </c>
      <c r="J293" s="2"/>
      <c r="L293" s="40"/>
    </row>
    <row r="294" spans="1:12" ht="15.75">
      <c r="A294" s="17"/>
      <c r="B294" s="64" t="s">
        <v>300</v>
      </c>
      <c r="C294" s="74" t="s">
        <v>265</v>
      </c>
      <c r="D294" s="71">
        <f>D295+D296+D297</f>
        <v>1.0855</v>
      </c>
      <c r="E294" s="71">
        <f>E295+E296+E297</f>
        <v>0</v>
      </c>
      <c r="F294" s="71">
        <f>F295+F296+F297</f>
        <v>1.0855</v>
      </c>
      <c r="G294" s="71"/>
      <c r="H294" s="68">
        <f t="shared" si="24"/>
        <v>0</v>
      </c>
      <c r="I294" s="73">
        <f t="shared" si="25"/>
        <v>100</v>
      </c>
      <c r="J294" s="2"/>
      <c r="L294" s="40"/>
    </row>
    <row r="295" spans="1:12" ht="31.5">
      <c r="A295" s="17"/>
      <c r="B295" s="48" t="s">
        <v>309</v>
      </c>
      <c r="C295" s="18" t="s">
        <v>158</v>
      </c>
      <c r="D295" s="12">
        <v>0.05</v>
      </c>
      <c r="E295" s="12"/>
      <c r="F295" s="12">
        <v>0.05</v>
      </c>
      <c r="G295" s="12"/>
      <c r="H295" s="69">
        <f t="shared" si="24"/>
        <v>0</v>
      </c>
      <c r="I295" s="70">
        <f t="shared" si="25"/>
        <v>100</v>
      </c>
      <c r="J295" s="2"/>
      <c r="L295" s="40"/>
    </row>
    <row r="296" spans="1:12" ht="31.5">
      <c r="A296" s="17"/>
      <c r="B296" s="48" t="s">
        <v>365</v>
      </c>
      <c r="C296" s="18" t="s">
        <v>32</v>
      </c>
      <c r="D296" s="12">
        <v>0.0855</v>
      </c>
      <c r="E296" s="12"/>
      <c r="F296" s="12">
        <v>0.0855</v>
      </c>
      <c r="G296" s="12"/>
      <c r="H296" s="69">
        <f t="shared" si="24"/>
        <v>0</v>
      </c>
      <c r="I296" s="70">
        <f t="shared" si="25"/>
        <v>100</v>
      </c>
      <c r="J296" s="2"/>
      <c r="L296" s="40"/>
    </row>
    <row r="297" spans="1:12" ht="66.75" customHeight="1">
      <c r="A297" s="17"/>
      <c r="B297" s="48" t="s">
        <v>312</v>
      </c>
      <c r="C297" s="18" t="s">
        <v>34</v>
      </c>
      <c r="D297" s="12">
        <f>0.95</f>
        <v>0.95</v>
      </c>
      <c r="E297" s="12"/>
      <c r="F297" s="12">
        <v>0.95</v>
      </c>
      <c r="G297" s="12"/>
      <c r="H297" s="69">
        <f t="shared" si="24"/>
        <v>0</v>
      </c>
      <c r="I297" s="70">
        <f t="shared" si="25"/>
        <v>100</v>
      </c>
      <c r="J297" s="2"/>
      <c r="L297" s="40"/>
    </row>
    <row r="298" spans="1:12" ht="63">
      <c r="A298" s="27" t="s">
        <v>311</v>
      </c>
      <c r="B298" s="64" t="s">
        <v>321</v>
      </c>
      <c r="C298" s="55" t="s">
        <v>270</v>
      </c>
      <c r="D298" s="6">
        <v>24.50564</v>
      </c>
      <c r="E298" s="6">
        <v>20.6</v>
      </c>
      <c r="F298" s="6">
        <v>24.50564</v>
      </c>
      <c r="G298" s="5"/>
      <c r="H298" s="68">
        <f t="shared" si="24"/>
        <v>0</v>
      </c>
      <c r="I298" s="73">
        <f t="shared" si="25"/>
        <v>100</v>
      </c>
      <c r="J298" s="2"/>
      <c r="L298" s="40"/>
    </row>
    <row r="299" spans="1:12" ht="15.75">
      <c r="A299" s="19" t="s">
        <v>322</v>
      </c>
      <c r="B299" s="72" t="s">
        <v>335</v>
      </c>
      <c r="C299" s="63" t="s">
        <v>266</v>
      </c>
      <c r="D299" s="100">
        <f>D300+D301+D302+D303</f>
        <v>23.37137</v>
      </c>
      <c r="E299" s="100">
        <f>E300+E301+E302+E303</f>
        <v>0</v>
      </c>
      <c r="F299" s="100">
        <f>F300+F301+F302+F303</f>
        <v>21.56137</v>
      </c>
      <c r="G299" s="71"/>
      <c r="H299" s="68">
        <f t="shared" si="24"/>
        <v>-1.8099999999999987</v>
      </c>
      <c r="I299" s="73">
        <f t="shared" si="25"/>
        <v>92.2554818138603</v>
      </c>
      <c r="J299" s="2"/>
      <c r="L299" s="40"/>
    </row>
    <row r="300" spans="1:12" ht="15.75">
      <c r="A300" s="19"/>
      <c r="B300" s="72" t="s">
        <v>444</v>
      </c>
      <c r="C300" s="87" t="s">
        <v>271</v>
      </c>
      <c r="D300" s="100">
        <v>14.61137</v>
      </c>
      <c r="E300" s="71"/>
      <c r="F300" s="71">
        <v>14.61137</v>
      </c>
      <c r="G300" s="71"/>
      <c r="H300" s="68">
        <f t="shared" si="24"/>
        <v>0</v>
      </c>
      <c r="I300" s="73">
        <f t="shared" si="25"/>
        <v>100</v>
      </c>
      <c r="J300" s="2"/>
      <c r="L300" s="40"/>
    </row>
    <row r="301" spans="1:12" ht="15.75" customHeight="1">
      <c r="A301" s="19"/>
      <c r="B301" s="72" t="s">
        <v>445</v>
      </c>
      <c r="C301" s="87" t="s">
        <v>192</v>
      </c>
      <c r="D301" s="100">
        <v>0.55</v>
      </c>
      <c r="E301" s="71"/>
      <c r="F301" s="71">
        <v>0.34</v>
      </c>
      <c r="G301" s="71"/>
      <c r="H301" s="68">
        <f t="shared" si="24"/>
        <v>-0.21000000000000002</v>
      </c>
      <c r="I301" s="73">
        <f t="shared" si="25"/>
        <v>61.81818181818181</v>
      </c>
      <c r="J301" s="2"/>
      <c r="L301" s="40"/>
    </row>
    <row r="302" spans="1:12" ht="15.75">
      <c r="A302" s="19"/>
      <c r="B302" s="72" t="s">
        <v>446</v>
      </c>
      <c r="C302" s="99" t="s">
        <v>267</v>
      </c>
      <c r="D302" s="100">
        <v>2.22</v>
      </c>
      <c r="E302" s="71"/>
      <c r="F302" s="71">
        <v>2.22</v>
      </c>
      <c r="G302" s="71"/>
      <c r="H302" s="68">
        <f t="shared" si="24"/>
        <v>0</v>
      </c>
      <c r="I302" s="73">
        <f t="shared" si="25"/>
        <v>100</v>
      </c>
      <c r="J302" s="2"/>
      <c r="L302" s="40"/>
    </row>
    <row r="303" spans="1:12" ht="31.5">
      <c r="A303" s="19"/>
      <c r="B303" s="72" t="s">
        <v>424</v>
      </c>
      <c r="C303" s="99" t="s">
        <v>281</v>
      </c>
      <c r="D303" s="100">
        <v>5.99</v>
      </c>
      <c r="E303" s="71"/>
      <c r="F303" s="71">
        <v>4.39</v>
      </c>
      <c r="G303" s="71"/>
      <c r="H303" s="68">
        <f t="shared" si="24"/>
        <v>-1.6000000000000005</v>
      </c>
      <c r="I303" s="73">
        <f t="shared" si="25"/>
        <v>73.28881469115191</v>
      </c>
      <c r="J303" s="2"/>
      <c r="L303" s="40"/>
    </row>
    <row r="304" spans="1:12" ht="66" customHeight="1" hidden="1">
      <c r="A304" s="19"/>
      <c r="B304" s="72" t="s">
        <v>415</v>
      </c>
      <c r="C304" s="55" t="s">
        <v>282</v>
      </c>
      <c r="D304" s="100"/>
      <c r="E304" s="71"/>
      <c r="F304" s="71"/>
      <c r="G304" s="71"/>
      <c r="H304" s="68">
        <f t="shared" si="24"/>
        <v>0</v>
      </c>
      <c r="I304" s="76" t="e">
        <f t="shared" si="25"/>
        <v>#DIV/0!</v>
      </c>
      <c r="J304" s="2"/>
      <c r="L304" s="40"/>
    </row>
    <row r="305" spans="1:12" ht="31.5" hidden="1">
      <c r="A305" s="27" t="s">
        <v>323</v>
      </c>
      <c r="B305" s="64" t="s">
        <v>325</v>
      </c>
      <c r="C305" s="80" t="s">
        <v>39</v>
      </c>
      <c r="D305" s="6"/>
      <c r="E305" s="6">
        <v>0.1</v>
      </c>
      <c r="F305" s="5"/>
      <c r="G305" s="5" t="e">
        <f>F305-#REF!</f>
        <v>#REF!</v>
      </c>
      <c r="H305" s="68">
        <f t="shared" si="24"/>
        <v>0</v>
      </c>
      <c r="I305" s="73" t="e">
        <f t="shared" si="25"/>
        <v>#DIV/0!</v>
      </c>
      <c r="J305" s="2"/>
      <c r="L305" s="59"/>
    </row>
    <row r="306" spans="1:12" ht="18" customHeight="1">
      <c r="A306" s="27"/>
      <c r="B306" s="97"/>
      <c r="C306" s="74" t="s">
        <v>391</v>
      </c>
      <c r="D306" s="6">
        <f>D187+D266+D285</f>
        <v>31516.678569999996</v>
      </c>
      <c r="E306" s="6">
        <f>E187+E266+E285</f>
        <v>155.7</v>
      </c>
      <c r="F306" s="6">
        <f>F187+F266+F285</f>
        <v>13400.661670000001</v>
      </c>
      <c r="G306" s="6" t="e">
        <f>G266+#REF!+#REF!</f>
        <v>#REF!</v>
      </c>
      <c r="H306" s="68">
        <f t="shared" si="24"/>
        <v>-18116.016899999995</v>
      </c>
      <c r="I306" s="73">
        <f t="shared" si="25"/>
        <v>42.519270043753224</v>
      </c>
      <c r="L306" s="29"/>
    </row>
    <row r="307" spans="1:12" ht="18" customHeight="1">
      <c r="A307" s="27"/>
      <c r="B307" s="97"/>
      <c r="C307" s="74" t="s">
        <v>290</v>
      </c>
      <c r="D307" s="6">
        <f>D306+D185</f>
        <v>198462.01223</v>
      </c>
      <c r="E307" s="6"/>
      <c r="F307" s="6">
        <f>F306+F185</f>
        <v>155431.18546000004</v>
      </c>
      <c r="G307" s="6"/>
      <c r="H307" s="68">
        <f t="shared" si="24"/>
        <v>-43030.826769999956</v>
      </c>
      <c r="I307" s="73">
        <f t="shared" si="25"/>
        <v>78.31785222446953</v>
      </c>
      <c r="L307" s="29"/>
    </row>
    <row r="308" spans="1:12" ht="78" customHeight="1">
      <c r="A308" s="117" t="s">
        <v>28</v>
      </c>
      <c r="B308" s="117"/>
      <c r="C308" s="117"/>
      <c r="D308" s="117"/>
      <c r="E308" s="60"/>
      <c r="F308" s="114" t="s">
        <v>47</v>
      </c>
      <c r="G308" s="114"/>
      <c r="H308" s="114"/>
      <c r="I308" s="114"/>
      <c r="L308" s="29"/>
    </row>
    <row r="309" spans="1:12" ht="18" customHeight="1">
      <c r="A309" s="106"/>
      <c r="B309" s="106"/>
      <c r="C309" s="106"/>
      <c r="G309" s="107"/>
      <c r="H309" s="107"/>
      <c r="L309" s="29"/>
    </row>
    <row r="310" spans="1:12" ht="18" customHeight="1">
      <c r="A310" s="106"/>
      <c r="B310" s="106"/>
      <c r="C310" s="106"/>
      <c r="L310" s="29"/>
    </row>
    <row r="311" spans="3:12" ht="15.75">
      <c r="C311" s="41"/>
      <c r="L311" s="34"/>
    </row>
    <row r="312" spans="3:12" ht="15.75">
      <c r="C312" s="42"/>
      <c r="D312" s="43"/>
      <c r="E312" s="43"/>
      <c r="F312" s="43"/>
      <c r="G312" s="44"/>
      <c r="L312" s="45"/>
    </row>
    <row r="313" spans="3:12" ht="45" customHeight="1">
      <c r="C313" s="41"/>
      <c r="D313" s="9"/>
      <c r="E313" s="9"/>
      <c r="F313" s="9"/>
      <c r="G313" s="46"/>
      <c r="H313" s="9"/>
      <c r="L313" s="45"/>
    </row>
    <row r="314" spans="3:12" ht="84" customHeight="1">
      <c r="C314" s="41"/>
      <c r="D314" s="9"/>
      <c r="E314" s="9"/>
      <c r="F314" s="9"/>
      <c r="G314" s="46"/>
      <c r="L314" s="29"/>
    </row>
    <row r="315" spans="3:12" ht="15.75">
      <c r="C315" s="41"/>
      <c r="L315" s="45"/>
    </row>
    <row r="316" spans="3:12" ht="15.75">
      <c r="C316" s="41"/>
      <c r="D316" s="9"/>
      <c r="E316" s="9"/>
      <c r="F316" s="9"/>
      <c r="G316" s="46"/>
      <c r="L316" s="29"/>
    </row>
    <row r="317" ht="15.75">
      <c r="L317" s="29"/>
    </row>
    <row r="318" ht="15.75">
      <c r="L318" s="29"/>
    </row>
    <row r="319" ht="15.75">
      <c r="L319" s="29"/>
    </row>
    <row r="320" ht="15.75">
      <c r="L320" s="29"/>
    </row>
    <row r="321" ht="15.75">
      <c r="L321" s="29"/>
    </row>
    <row r="322" ht="15.75">
      <c r="L322" s="29"/>
    </row>
    <row r="323" ht="15.75">
      <c r="L323" s="29"/>
    </row>
    <row r="324" ht="15.75">
      <c r="L324" s="29"/>
    </row>
    <row r="325" ht="15.75">
      <c r="L325" s="29"/>
    </row>
    <row r="326" ht="15.75">
      <c r="L326" s="29"/>
    </row>
    <row r="327" ht="15.75">
      <c r="L327" s="29"/>
    </row>
    <row r="328" ht="15.75">
      <c r="L328" s="29"/>
    </row>
    <row r="329" ht="15.75">
      <c r="L329" s="29"/>
    </row>
    <row r="330" ht="15.75">
      <c r="L330" s="29"/>
    </row>
    <row r="331" ht="15.75">
      <c r="L331" s="29"/>
    </row>
    <row r="332" ht="15.75">
      <c r="L332" s="29"/>
    </row>
    <row r="333" ht="15.75">
      <c r="L333" s="29"/>
    </row>
    <row r="334" ht="15.75">
      <c r="L334" s="29"/>
    </row>
    <row r="335" ht="15.75">
      <c r="L335" s="29"/>
    </row>
    <row r="336" ht="15.75">
      <c r="L336" s="29"/>
    </row>
    <row r="337" ht="15.75">
      <c r="L337" s="29"/>
    </row>
    <row r="338" ht="15.75">
      <c r="L338" s="29"/>
    </row>
    <row r="339" ht="15.75">
      <c r="L339" s="29"/>
    </row>
    <row r="340" ht="15.75">
      <c r="L340" s="29"/>
    </row>
    <row r="341" ht="15.75">
      <c r="L341" s="29"/>
    </row>
    <row r="342" ht="15.75">
      <c r="L342" s="29"/>
    </row>
    <row r="343" ht="15.75">
      <c r="L343" s="29"/>
    </row>
    <row r="344" ht="15.75">
      <c r="L344" s="29"/>
    </row>
    <row r="345" ht="15.75">
      <c r="L345" s="29"/>
    </row>
    <row r="346" ht="15.75">
      <c r="L346" s="29"/>
    </row>
    <row r="347" ht="15.75">
      <c r="L347" s="29"/>
    </row>
    <row r="348" ht="15.75">
      <c r="L348" s="29"/>
    </row>
    <row r="349" ht="15.75">
      <c r="L349" s="29"/>
    </row>
    <row r="350" ht="15.75">
      <c r="L350" s="29"/>
    </row>
    <row r="351" ht="15.75">
      <c r="L351" s="29"/>
    </row>
    <row r="352" ht="15.75">
      <c r="L352" s="29"/>
    </row>
    <row r="353" ht="15.75">
      <c r="L353" s="29"/>
    </row>
    <row r="354" ht="15.75">
      <c r="L354" s="29"/>
    </row>
    <row r="355" ht="15.75">
      <c r="L355" s="29"/>
    </row>
    <row r="356" ht="15.75">
      <c r="L356" s="29"/>
    </row>
    <row r="357" ht="15.75">
      <c r="L357" s="29"/>
    </row>
    <row r="358" ht="15.75">
      <c r="L358" s="29"/>
    </row>
    <row r="359" ht="15.75">
      <c r="L359" s="29"/>
    </row>
    <row r="360" ht="15.75">
      <c r="L360" s="29"/>
    </row>
    <row r="361" ht="15.75">
      <c r="L361" s="29"/>
    </row>
    <row r="362" ht="15.75">
      <c r="L362" s="29"/>
    </row>
    <row r="363" ht="15.75">
      <c r="L363" s="29"/>
    </row>
    <row r="364" ht="15.75">
      <c r="L364" s="29"/>
    </row>
    <row r="365" ht="15.75">
      <c r="L365" s="29"/>
    </row>
    <row r="366" ht="15.75">
      <c r="L366" s="29"/>
    </row>
    <row r="367" ht="15.75">
      <c r="L367" s="29"/>
    </row>
    <row r="368" ht="15.75">
      <c r="L368" s="29"/>
    </row>
    <row r="369" ht="15.75">
      <c r="L369" s="29"/>
    </row>
    <row r="370" ht="15.75">
      <c r="L370" s="29"/>
    </row>
    <row r="371" ht="15.75">
      <c r="L371" s="29"/>
    </row>
    <row r="372" ht="15.75">
      <c r="L372" s="29"/>
    </row>
    <row r="373" ht="15.75">
      <c r="L373" s="29"/>
    </row>
    <row r="374" ht="15.75">
      <c r="L374" s="29"/>
    </row>
    <row r="375" ht="15.75">
      <c r="L375" s="29"/>
    </row>
    <row r="376" ht="15.75">
      <c r="L376" s="29"/>
    </row>
    <row r="377" ht="15.75">
      <c r="L377" s="29"/>
    </row>
    <row r="378" ht="15.75">
      <c r="L378" s="29"/>
    </row>
    <row r="379" ht="15.75">
      <c r="L379" s="29"/>
    </row>
    <row r="380" ht="15.75">
      <c r="L380" s="29"/>
    </row>
    <row r="381" ht="15.75">
      <c r="L381" s="29"/>
    </row>
    <row r="382" ht="15.75">
      <c r="L382" s="29"/>
    </row>
    <row r="383" ht="15.75">
      <c r="L383" s="29"/>
    </row>
    <row r="384" ht="15.75">
      <c r="L384" s="29"/>
    </row>
    <row r="385" ht="15.75">
      <c r="L385" s="29"/>
    </row>
    <row r="386" ht="15.75">
      <c r="L386" s="29"/>
    </row>
    <row r="387" ht="15.75">
      <c r="L387" s="29"/>
    </row>
    <row r="388" ht="15.75">
      <c r="L388" s="29"/>
    </row>
    <row r="389" ht="15.75">
      <c r="L389" s="29"/>
    </row>
    <row r="390" ht="15.75">
      <c r="L390" s="29"/>
    </row>
    <row r="391" ht="15.75">
      <c r="L391" s="29"/>
    </row>
    <row r="392" ht="15.75">
      <c r="L392" s="29"/>
    </row>
    <row r="393" ht="15.75">
      <c r="L393" s="29"/>
    </row>
    <row r="394" ht="15.75">
      <c r="L394" s="29"/>
    </row>
    <row r="395" ht="15.75">
      <c r="L395" s="29"/>
    </row>
    <row r="396" ht="15.75">
      <c r="L396" s="29"/>
    </row>
    <row r="397" ht="15.75">
      <c r="L397" s="29"/>
    </row>
    <row r="398" ht="15.75">
      <c r="L398" s="29"/>
    </row>
    <row r="399" ht="15.75">
      <c r="L399" s="29"/>
    </row>
    <row r="400" ht="15.75">
      <c r="L400" s="29"/>
    </row>
    <row r="401" ht="15.75">
      <c r="L401" s="29"/>
    </row>
    <row r="402" ht="15.75">
      <c r="L402" s="29"/>
    </row>
    <row r="403" ht="15.75">
      <c r="L403" s="29"/>
    </row>
    <row r="404" ht="15.75">
      <c r="L404" s="29"/>
    </row>
    <row r="405" ht="15.75">
      <c r="L405" s="29"/>
    </row>
    <row r="406" ht="15.75">
      <c r="L406" s="29"/>
    </row>
    <row r="407" ht="15.75">
      <c r="L407" s="29"/>
    </row>
    <row r="408" ht="15.75">
      <c r="L408" s="29"/>
    </row>
    <row r="409" ht="15.75">
      <c r="L409" s="29"/>
    </row>
    <row r="410" ht="15.75">
      <c r="L410" s="29"/>
    </row>
    <row r="411" ht="15.75">
      <c r="L411" s="29"/>
    </row>
    <row r="412" ht="15.75">
      <c r="L412" s="29"/>
    </row>
    <row r="413" ht="15.75">
      <c r="L413" s="29"/>
    </row>
    <row r="414" ht="15.75">
      <c r="L414" s="29"/>
    </row>
    <row r="415" ht="15.75">
      <c r="L415" s="29"/>
    </row>
    <row r="416" ht="15.75">
      <c r="L416" s="29"/>
    </row>
    <row r="417" ht="15.75">
      <c r="L417" s="29"/>
    </row>
    <row r="418" ht="15.75">
      <c r="L418" s="29"/>
    </row>
    <row r="419" ht="15.75">
      <c r="L419" s="29"/>
    </row>
    <row r="420" ht="15.75">
      <c r="L420" s="29"/>
    </row>
    <row r="421" ht="15.75">
      <c r="L421" s="29"/>
    </row>
    <row r="422" ht="15.75">
      <c r="L422" s="29"/>
    </row>
    <row r="423" ht="15.75">
      <c r="L423" s="29"/>
    </row>
    <row r="424" ht="15.75">
      <c r="L424" s="29"/>
    </row>
    <row r="425" ht="15.75">
      <c r="L425" s="29"/>
    </row>
    <row r="426" ht="15.75">
      <c r="L426" s="29"/>
    </row>
    <row r="427" ht="15.75">
      <c r="L427" s="29"/>
    </row>
    <row r="428" ht="15.75">
      <c r="L428" s="29"/>
    </row>
    <row r="429" ht="15.75">
      <c r="L429" s="29"/>
    </row>
  </sheetData>
  <mergeCells count="11">
    <mergeCell ref="F1:I1"/>
    <mergeCell ref="A4:I4"/>
    <mergeCell ref="A5:I5"/>
    <mergeCell ref="A309:C309"/>
    <mergeCell ref="G309:H309"/>
    <mergeCell ref="A310:C310"/>
    <mergeCell ref="H6:I6"/>
    <mergeCell ref="A9:I9"/>
    <mergeCell ref="A186:I186"/>
    <mergeCell ref="F308:I308"/>
    <mergeCell ref="A308:D308"/>
  </mergeCells>
  <printOptions/>
  <pageMargins left="1.41" right="0.31" top="0.55" bottom="0.19" header="0" footer="0"/>
  <pageSetup blackAndWhite="1" fitToHeight="8"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2014-02-07T11:49:37Z</cp:lastPrinted>
  <dcterms:created xsi:type="dcterms:W3CDTF">2002-02-22T11:29:09Z</dcterms:created>
  <dcterms:modified xsi:type="dcterms:W3CDTF">2014-02-07T12:00:15Z</dcterms:modified>
  <cp:category/>
  <cp:version/>
  <cp:contentType/>
  <cp:contentStatus/>
</cp:coreProperties>
</file>